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1" activeTab="1"/>
  </bookViews>
  <sheets>
    <sheet name="сады  " sheetId="1" r:id="rId1"/>
    <sheet name="ясли " sheetId="2" r:id="rId2"/>
    <sheet name="техкарты" sheetId="3" r:id="rId3"/>
  </sheets>
  <definedNames/>
  <calcPr fullCalcOnLoad="1"/>
</workbook>
</file>

<file path=xl/sharedStrings.xml><?xml version="1.0" encoding="utf-8"?>
<sst xmlns="http://schemas.openxmlformats.org/spreadsheetml/2006/main" count="2505" uniqueCount="481">
  <si>
    <t>1 ДЕНЬ.</t>
  </si>
  <si>
    <t>от 3-7 лет</t>
  </si>
  <si>
    <t>Наименование блюда</t>
  </si>
  <si>
    <t>Выход</t>
  </si>
  <si>
    <t>Брутто</t>
  </si>
  <si>
    <t>Нетто</t>
  </si>
  <si>
    <t>Цена</t>
  </si>
  <si>
    <t>Стоимость</t>
  </si>
  <si>
    <t>Белки</t>
  </si>
  <si>
    <t>Жиры</t>
  </si>
  <si>
    <t>Углеводы</t>
  </si>
  <si>
    <t>Ккал</t>
  </si>
  <si>
    <t xml:space="preserve">              (в граммах)</t>
  </si>
  <si>
    <t>Завтрак     8:00</t>
  </si>
  <si>
    <t>Каша Геркулесовая</t>
  </si>
  <si>
    <t>Геркулес</t>
  </si>
  <si>
    <t>Масло сливочное</t>
  </si>
  <si>
    <t>Сахар</t>
  </si>
  <si>
    <t>Молоко</t>
  </si>
  <si>
    <t xml:space="preserve">чай сладкий </t>
  </si>
  <si>
    <t>Чай</t>
  </si>
  <si>
    <t xml:space="preserve">Печенье </t>
  </si>
  <si>
    <t>20</t>
  </si>
  <si>
    <t xml:space="preserve">                            Всего за завтрак: </t>
  </si>
  <si>
    <t>суточной калорийности</t>
  </si>
  <si>
    <t>2-ой завтрак</t>
  </si>
  <si>
    <t>Сок</t>
  </si>
  <si>
    <t>Второй завтрак:</t>
  </si>
  <si>
    <t>Обед   12:00</t>
  </si>
  <si>
    <t>Суп Вермишелевый  на м/б</t>
  </si>
  <si>
    <t>мясной бульон</t>
  </si>
  <si>
    <t>вермишель</t>
  </si>
  <si>
    <t>Картофель</t>
  </si>
  <si>
    <t>Лук</t>
  </si>
  <si>
    <t>Морковь</t>
  </si>
  <si>
    <t>Салянка овощная с мясом отварным</t>
  </si>
  <si>
    <t>Мясо</t>
  </si>
  <si>
    <t>Масло растительное</t>
  </si>
  <si>
    <t>Капуста</t>
  </si>
  <si>
    <t>Компот из кураги</t>
  </si>
  <si>
    <t>Курага</t>
  </si>
  <si>
    <t>Хлеб ржаной</t>
  </si>
  <si>
    <t>Хлеб пшеничный</t>
  </si>
  <si>
    <t xml:space="preserve">   Всего за обед:</t>
  </si>
  <si>
    <t>Полдник</t>
  </si>
  <si>
    <t>Омлет с кукурузой консервированной</t>
  </si>
  <si>
    <t>Яйцо</t>
  </si>
  <si>
    <t>кукуруза консервированная</t>
  </si>
  <si>
    <t xml:space="preserve">Хлеб  пшеничный </t>
  </si>
  <si>
    <t xml:space="preserve">Чай с сахаром </t>
  </si>
  <si>
    <t>Всего за полдник:</t>
  </si>
  <si>
    <t>Всего соль:</t>
  </si>
  <si>
    <t>гр.</t>
  </si>
  <si>
    <t xml:space="preserve">Итого за день: </t>
  </si>
  <si>
    <t>Всего :Б,Ж,У.</t>
  </si>
  <si>
    <t>2 ДЕНЬ.</t>
  </si>
  <si>
    <t>Стои-мость</t>
  </si>
  <si>
    <t>Завтрак</t>
  </si>
  <si>
    <t>8-00</t>
  </si>
  <si>
    <t>Каша Пшеная</t>
  </si>
  <si>
    <t>Пшено</t>
  </si>
  <si>
    <t>Кофейный напиток с молоком</t>
  </si>
  <si>
    <t>Кофе суррогатный</t>
  </si>
  <si>
    <t>Хлеб с сыром</t>
  </si>
  <si>
    <t>30/10</t>
  </si>
  <si>
    <t>Сыр</t>
  </si>
  <si>
    <t>2-й завтрак</t>
  </si>
  <si>
    <t>Обед</t>
  </si>
  <si>
    <t>12-00</t>
  </si>
  <si>
    <t>Суп «Картофельный   на бульоне » со смет.</t>
  </si>
  <si>
    <t>250/10</t>
  </si>
  <si>
    <t>Бульон цыпленка-бройлерного</t>
  </si>
  <si>
    <t>Сметана</t>
  </si>
  <si>
    <t>Суфле из отварного цыпленка-бройлерного с соусом</t>
  </si>
  <si>
    <t>80/30</t>
  </si>
  <si>
    <t xml:space="preserve"> Цыпленок-бройлерный 1 сорт</t>
  </si>
  <si>
    <t>Мука</t>
  </si>
  <si>
    <t>СОУС:        Лук</t>
  </si>
  <si>
    <t>Томат</t>
  </si>
  <si>
    <t>гречка отварная</t>
  </si>
  <si>
    <t>греча</t>
  </si>
  <si>
    <t>компот  из с/фр</t>
  </si>
  <si>
    <t>с/фр</t>
  </si>
  <si>
    <t>Запеканка творожная</t>
  </si>
  <si>
    <t>Творог</t>
  </si>
  <si>
    <t>Манка</t>
  </si>
  <si>
    <t>Ванилин</t>
  </si>
  <si>
    <t>Сгущенное молоко</t>
  </si>
  <si>
    <t xml:space="preserve">Кефир с сахаром </t>
  </si>
  <si>
    <t>Кефир</t>
  </si>
  <si>
    <t>3 ДЕНЬ.</t>
  </si>
  <si>
    <t>Каша Рисовая</t>
  </si>
  <si>
    <t>Рис</t>
  </si>
  <si>
    <t>Вафли</t>
  </si>
  <si>
    <t>30</t>
  </si>
  <si>
    <t>2-ой Завтрак</t>
  </si>
  <si>
    <t>Борщ  со сметаной  с ц/б</t>
  </si>
  <si>
    <t>Свекла</t>
  </si>
  <si>
    <t>Тефтели мясные в соусе молочном</t>
  </si>
  <si>
    <t>70/30</t>
  </si>
  <si>
    <t xml:space="preserve">СОУС:        </t>
  </si>
  <si>
    <t>макароны отварные</t>
  </si>
  <si>
    <t>Макароны</t>
  </si>
  <si>
    <t>крмпот из вишни (смородины)</t>
  </si>
  <si>
    <t>вишня</t>
  </si>
  <si>
    <t>15-30</t>
  </si>
  <si>
    <t xml:space="preserve">Рыба запеченная с овощами в томатном соусе </t>
  </si>
  <si>
    <t>Рыба (тушка)</t>
  </si>
  <si>
    <t xml:space="preserve">Соус Томатный:        </t>
  </si>
  <si>
    <t>Пюре картофельное</t>
  </si>
  <si>
    <t xml:space="preserve">4 ДЕНЬ. </t>
  </si>
  <si>
    <t>Каша Гречневая</t>
  </si>
  <si>
    <t>Хлеб  с сыром</t>
  </si>
  <si>
    <t>Суп овощной  со сметаной на бульоне ц/б</t>
  </si>
  <si>
    <t xml:space="preserve"> бульон  цыпленка-бролейрного</t>
  </si>
  <si>
    <t>Плов  с отварной курицей</t>
  </si>
  <si>
    <t>Салат из свежей капусты</t>
  </si>
  <si>
    <t xml:space="preserve">Капуста </t>
  </si>
  <si>
    <t>Кисель  из замороженной смеси ягод</t>
  </si>
  <si>
    <t>смесь ягодная</t>
  </si>
  <si>
    <t>Крахмал</t>
  </si>
  <si>
    <t xml:space="preserve">Шарлотка творожная </t>
  </si>
  <si>
    <t>ягода протертая с сахаром</t>
  </si>
  <si>
    <t xml:space="preserve">5 ДЕНЬ. </t>
  </si>
  <si>
    <t>Вермишелька молочная</t>
  </si>
  <si>
    <t xml:space="preserve">Вермишель </t>
  </si>
  <si>
    <t>Какао напиток с молоком</t>
  </si>
  <si>
    <t>Какао</t>
  </si>
  <si>
    <t>Бульон  с яичными хлопьями (или с ½ яйца)</t>
  </si>
  <si>
    <t>Котлета рыбная</t>
  </si>
  <si>
    <t>напиток из шиповника</t>
  </si>
  <si>
    <t xml:space="preserve">Шиповник </t>
  </si>
  <si>
    <t>Пирог с яблоком</t>
  </si>
  <si>
    <t>Яблоко</t>
  </si>
  <si>
    <t>Дрожжи</t>
  </si>
  <si>
    <t>Всего за полдник</t>
  </si>
  <si>
    <t>За 5 дней</t>
  </si>
  <si>
    <t xml:space="preserve"> </t>
  </si>
  <si>
    <t xml:space="preserve">6 ДЕНЬ. </t>
  </si>
  <si>
    <t>чай сладкий</t>
  </si>
  <si>
    <t>2 завтрак</t>
  </si>
  <si>
    <t>Рассольник со сметаной  на м/б</t>
  </si>
  <si>
    <t>Крупа перловая</t>
  </si>
  <si>
    <t xml:space="preserve">Огурец Соленый  </t>
  </si>
  <si>
    <t>Запеканка мясная с макаронами</t>
  </si>
  <si>
    <t>Компот из смеси ягод</t>
  </si>
  <si>
    <t>Картофель запеченный в молочном соусе с сыром</t>
  </si>
  <si>
    <t xml:space="preserve">7 ДЕНЬ. </t>
  </si>
  <si>
    <t>Каша Овсяная</t>
  </si>
  <si>
    <t>Кофе с молоком</t>
  </si>
  <si>
    <t>Кофе</t>
  </si>
  <si>
    <t>ОБЕД</t>
  </si>
  <si>
    <t>Свекольник  со сметаной    с цыпленком-бройлерным</t>
  </si>
  <si>
    <t>Биточки  мясные в соусе</t>
  </si>
  <si>
    <t>Рис отварной</t>
  </si>
  <si>
    <t>компот из с/фр</t>
  </si>
  <si>
    <t>Итого:</t>
  </si>
  <si>
    <t>Пудинг творожный с бананом</t>
  </si>
  <si>
    <t>банан</t>
  </si>
  <si>
    <t>Подлива шоколадная</t>
  </si>
  <si>
    <t xml:space="preserve">8 ДЕНЬ. </t>
  </si>
  <si>
    <t>8-30</t>
  </si>
  <si>
    <t xml:space="preserve">Каша манная </t>
  </si>
  <si>
    <t>Суп Крестьянский   на бульоне</t>
  </si>
  <si>
    <t>Соте из отварной курицы</t>
  </si>
  <si>
    <t xml:space="preserve">Овощное рагу </t>
  </si>
  <si>
    <t>зеленый горошек</t>
  </si>
  <si>
    <t xml:space="preserve">Фрикадельки рыбные </t>
  </si>
  <si>
    <t xml:space="preserve">9 ДЕНЬ. </t>
  </si>
  <si>
    <t>Каша дружба</t>
  </si>
  <si>
    <t>Витаминизированный напиток  Витастарт</t>
  </si>
  <si>
    <t>Концентрат гранулированный Витастарт</t>
  </si>
  <si>
    <t>вода кипяченая охлажденная</t>
  </si>
  <si>
    <t>Щи   со сметаной  на бульоне</t>
  </si>
  <si>
    <t xml:space="preserve">бульон ц/б </t>
  </si>
  <si>
    <t>Гречка по-Купечески с отварным цыпленком  бройлерным</t>
  </si>
  <si>
    <t>Гречка</t>
  </si>
  <si>
    <t xml:space="preserve">напиток  из шиповника </t>
  </si>
  <si>
    <t>Суфле творожное</t>
  </si>
  <si>
    <t>Джем</t>
  </si>
  <si>
    <t xml:space="preserve">10 ДЕНЬ. </t>
  </si>
  <si>
    <t>Каша  Рисовая</t>
  </si>
  <si>
    <t>Суп «Гороховый » с сухариками  с ц/б</t>
  </si>
  <si>
    <t>Горох</t>
  </si>
  <si>
    <t>Запеканка рыбная</t>
  </si>
  <si>
    <t>Булка Домашняя</t>
  </si>
  <si>
    <t xml:space="preserve">Всего за 5 дней </t>
  </si>
  <si>
    <t>Всего за 10 дней</t>
  </si>
  <si>
    <t>Итого за 10 дней</t>
  </si>
  <si>
    <t>Средняя стоимость 1 дня</t>
  </si>
  <si>
    <t>Химический состав рационов по дням недели</t>
  </si>
  <si>
    <t>Дни  недели</t>
  </si>
  <si>
    <t>Белки гр.</t>
  </si>
  <si>
    <t>Жиры гр.</t>
  </si>
  <si>
    <t>Углеводы гр</t>
  </si>
  <si>
    <t>Энергетическая  ценность ккалор</t>
  </si>
  <si>
    <t>Итого</t>
  </si>
  <si>
    <t xml:space="preserve">    </t>
  </si>
  <si>
    <t xml:space="preserve">за 10 </t>
  </si>
  <si>
    <t>дней</t>
  </si>
  <si>
    <t>Таблица среднего набора продуктов за 10 дней на 1 чел.сад</t>
  </si>
  <si>
    <t>Продукты</t>
  </si>
  <si>
    <t>всего за 10дней</t>
  </si>
  <si>
    <t>среднее за день</t>
  </si>
  <si>
    <t>норма</t>
  </si>
  <si>
    <t>Мука пшеничная</t>
  </si>
  <si>
    <t>крупа</t>
  </si>
  <si>
    <t>овощи</t>
  </si>
  <si>
    <t>фрукты</t>
  </si>
  <si>
    <t>фрукты сухие</t>
  </si>
  <si>
    <t>кондитерские изд.</t>
  </si>
  <si>
    <t>молоко в т.ч.</t>
  </si>
  <si>
    <t>сгущеное молоко</t>
  </si>
  <si>
    <t>Куры</t>
  </si>
  <si>
    <t>колбасные изделия</t>
  </si>
  <si>
    <t>кофейный напиток</t>
  </si>
  <si>
    <t>Таблица среднего набора витаминов и минеральных веществ  за 10 дней на 1 чел.</t>
  </si>
  <si>
    <t>В1</t>
  </si>
  <si>
    <t>В2</t>
  </si>
  <si>
    <t>С</t>
  </si>
  <si>
    <t>Са</t>
  </si>
  <si>
    <t>Fe</t>
  </si>
  <si>
    <t>Манная крупа</t>
  </si>
  <si>
    <t xml:space="preserve">геркулес </t>
  </si>
  <si>
    <t>перловка</t>
  </si>
  <si>
    <t>Груша</t>
  </si>
  <si>
    <t>апельсин</t>
  </si>
  <si>
    <t>мандарин</t>
  </si>
  <si>
    <t>Ряженка</t>
  </si>
  <si>
    <t>Йогурт</t>
  </si>
  <si>
    <t>всего за 1 день</t>
  </si>
  <si>
    <t>От 1,5-3 лет</t>
  </si>
  <si>
    <t>Каша  Геркулесовая</t>
  </si>
  <si>
    <t>печенье</t>
  </si>
  <si>
    <t>всего за завтрак</t>
  </si>
  <si>
    <t>Компот из  кураги</t>
  </si>
  <si>
    <t>Каша Пшенная</t>
  </si>
  <si>
    <t>Пшенка</t>
  </si>
  <si>
    <t>Кофе (суррогатный)</t>
  </si>
  <si>
    <t>20/5</t>
  </si>
  <si>
    <t>Суп «Картофельный  на бульоне » со смет.</t>
  </si>
  <si>
    <t>150/10</t>
  </si>
  <si>
    <t>Каша рисовая</t>
  </si>
  <si>
    <t>Борщ  со сметаной   с ц/б</t>
  </si>
  <si>
    <t>150/5</t>
  </si>
  <si>
    <t>цыпленок бройлерный</t>
  </si>
  <si>
    <t>Тефтели мясные в соусе</t>
  </si>
  <si>
    <t>60/30</t>
  </si>
  <si>
    <t>Компот из вишни (смородины)</t>
  </si>
  <si>
    <t>Каша  Гречневая</t>
  </si>
  <si>
    <t xml:space="preserve">греча </t>
  </si>
  <si>
    <t>Суп овощной на бульоне  ц/б</t>
  </si>
  <si>
    <t>какао  с молоком</t>
  </si>
  <si>
    <t>Бульон ц/б с яичными хлопьями (или с ½ яйца)</t>
  </si>
  <si>
    <t xml:space="preserve"> Мука</t>
  </si>
  <si>
    <t>Каша  Овсяная</t>
  </si>
  <si>
    <t>Биточки мясные в соусе</t>
  </si>
  <si>
    <t>напиток из с/фр</t>
  </si>
  <si>
    <t xml:space="preserve">Каша Манная </t>
  </si>
  <si>
    <t>Суп Крестьянский   на ц/б</t>
  </si>
  <si>
    <t>Фрикадельки рыбные</t>
  </si>
  <si>
    <t>Щи  со сметаной   на бульоне</t>
  </si>
  <si>
    <t>Гречка по-Купечески с отварным цыпленком бройлерным</t>
  </si>
  <si>
    <t>Таблица среднего набора продуктов за 10 дней на 1 чел. Ясли</t>
  </si>
  <si>
    <t>всего за 10 дней</t>
  </si>
  <si>
    <t>Омлет запеченный с сыром</t>
  </si>
  <si>
    <t>выход 100гр.</t>
  </si>
  <si>
    <t xml:space="preserve">Омлет запеченый с сыром </t>
  </si>
  <si>
    <t>Б</t>
  </si>
  <si>
    <t>Ж</t>
  </si>
  <si>
    <t>У</t>
  </si>
  <si>
    <t>К</t>
  </si>
  <si>
    <r>
      <t>Технология приготовления</t>
    </r>
    <r>
      <rPr>
        <sz val="12"/>
        <rFont val="Arial"/>
        <family val="2"/>
      </rPr>
      <t xml:space="preserve">: Яйца, предварительно обработанные по СанПин , </t>
    </r>
  </si>
  <si>
    <t>смешивают с молоком,добавляют соль, слегка взбивают до тех пор ,</t>
  </si>
  <si>
    <t xml:space="preserve"> пока не появится пена. Омлетную смесь смешивают с тертым сыром. Омлет запекают</t>
  </si>
  <si>
    <t xml:space="preserve">на противне, смазанном маслом с толстым дном, обеспечивающим постепенный, </t>
  </si>
  <si>
    <t>равномерный прогрев яичной массы. Противень хорошо разогреть и вылить в него</t>
  </si>
  <si>
    <t>омлетную смесь слоем 2,5-3см.Вначале омлет запекают при небольшом нагреве,</t>
  </si>
  <si>
    <t xml:space="preserve"> до образования легкой мягкой корочки, затем доводят до готовности в жарочном шкафу</t>
  </si>
  <si>
    <t>8-10мин при температуре180-200С.При подаче нарезать на порционные куски.</t>
  </si>
  <si>
    <r>
      <t xml:space="preserve">Требования: </t>
    </r>
    <r>
      <rPr>
        <sz val="12"/>
        <rFont val="Arial"/>
        <family val="2"/>
      </rPr>
      <t>цвет светло-желтый. Консистенция пышная,пенная, пористая, упругая.</t>
    </r>
  </si>
  <si>
    <t>Вкус и запах свойственные набору продуктов, толщина слоя готового блюда не более 2,5-3см</t>
  </si>
  <si>
    <t>выход 130гр.</t>
  </si>
  <si>
    <r>
      <t>Технология приготовления: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Творог протирают, молоко, яичные желтки, перемешивают, </t>
    </r>
  </si>
  <si>
    <t>добавляют в протертый творог. Затем в массу добавляют взбитые в густую пену</t>
  </si>
  <si>
    <t>белки(яйца предварительно обрабатываются согласно СанПин),осторожно вымешивают</t>
  </si>
  <si>
    <t xml:space="preserve">выкладывают слоем не более 3-4 см на смазанный маслом противень и запекать в </t>
  </si>
  <si>
    <t>жарочном шкафу в течении 20-30минут при температуре 220-280С.</t>
  </si>
  <si>
    <r>
      <t>Требования:</t>
    </r>
    <r>
      <rPr>
        <sz val="12"/>
        <rFont val="Arial"/>
        <family val="2"/>
      </rPr>
      <t xml:space="preserve"> поверхность гладкая, без трещин, консистенция пышная, однородная, </t>
    </r>
  </si>
  <si>
    <t>нежная. Вкус и запах, свойственные творогу, сладкий,без излишней кислотности.</t>
  </si>
  <si>
    <t>Салат  Витаминчик</t>
  </si>
  <si>
    <t>выход 50гр.</t>
  </si>
  <si>
    <r>
      <t>Технология приготовления: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Обработанную и промытую кипяченой водой сырую морковь</t>
    </r>
  </si>
  <si>
    <t>натереть на крупной терке, соединяют с сахаром(или сахарным сиропом)</t>
  </si>
  <si>
    <t xml:space="preserve"> и заправляют растительным маслом.</t>
  </si>
  <si>
    <t>Солянка овощная</t>
  </si>
  <si>
    <t>выход 150гр.</t>
  </si>
  <si>
    <r>
      <t>Технология приготовления:</t>
    </r>
    <r>
      <rPr>
        <sz val="12"/>
        <rFont val="Arial"/>
        <family val="2"/>
      </rPr>
      <t xml:space="preserve">капусту нарезают шашками или соломкой, варят </t>
    </r>
  </si>
  <si>
    <t xml:space="preserve">в кипящей подсоленной воде 5-10мин., затем отвар сливают. Морковь пассеруют </t>
  </si>
  <si>
    <t>с добавлением масла .Томат-пюре и муку пассеруют отдельно. В отварную капусту</t>
  </si>
  <si>
    <t xml:space="preserve"> добавляют томат-пюре, сливочное масло и воду(20-30%) и тушить 5-10мин.Затем</t>
  </si>
  <si>
    <t>добавляют пассерованую морковь и тушат до готовности.</t>
  </si>
  <si>
    <r>
      <t>Требования:</t>
    </r>
    <r>
      <rPr>
        <sz val="12"/>
        <rFont val="Arial"/>
        <family val="2"/>
      </rPr>
      <t xml:space="preserve"> консистенция капусты мягкая,вкус и запах, свойственные тушеной капусте.</t>
    </r>
  </si>
  <si>
    <t xml:space="preserve">Рыба тушеная с овощами в томате </t>
  </si>
  <si>
    <t>Выход 80</t>
  </si>
  <si>
    <t>Технология приготовления:</t>
  </si>
  <si>
    <t>Очищенную и промытую рыбу опустить в горячую  воду, посолить,</t>
  </si>
  <si>
    <t xml:space="preserve">сварить. Морковь, лук обжарить на растительном масле, добавить к ним томатную пасту </t>
  </si>
  <si>
    <t xml:space="preserve"> и тушить еще 5 минут. Затем в овощи положить рыбу без кожи и костей,</t>
  </si>
  <si>
    <t xml:space="preserve"> залить рыбным бульоном, посолить и тушить до готовности 30 минут.</t>
  </si>
  <si>
    <t>икра кабачковая</t>
  </si>
  <si>
    <t>Икру кабачковую открыть,выложить в ёмкость, перекипятить.</t>
  </si>
  <si>
    <t>заправить растительным маслом.</t>
  </si>
  <si>
    <t>Суфле из отварного мяса</t>
  </si>
  <si>
    <t>выход 70гр.</t>
  </si>
  <si>
    <r>
      <t>Технология приготовления:</t>
    </r>
    <r>
      <rPr>
        <sz val="12"/>
        <rFont val="Arial Cyr"/>
        <family val="2"/>
      </rPr>
      <t xml:space="preserve">мясо отварить,остудить, пропустить два раза через </t>
    </r>
  </si>
  <si>
    <t>мясорубку,соединить с молочным соусом, хорошо вымешать, добавить желтки яиц,</t>
  </si>
  <si>
    <t xml:space="preserve"> растопленное масло и взбитые в пену белки. Полученную массу выложить на смазанный </t>
  </si>
  <si>
    <t>маслом противень и запекать 20-25мин.в жарочном шкафу при температуре 220-230С.</t>
  </si>
  <si>
    <r>
      <t>Требования</t>
    </r>
    <r>
      <rPr>
        <sz val="12"/>
        <rFont val="Arial"/>
        <family val="2"/>
      </rPr>
      <t xml:space="preserve">: поверхность ровная,консистенция однородная,рыхлая,сочная. </t>
    </r>
  </si>
  <si>
    <t>Цвет серовато-коричневый. Вкус и запах свойственные отварному мясу.</t>
  </si>
  <si>
    <t>Ватрушка с повидлом</t>
  </si>
  <si>
    <t>повидло</t>
  </si>
  <si>
    <t xml:space="preserve">Из муки,молока,масла,сахара,яиц, дрожжей, с добавлением </t>
  </si>
  <si>
    <t>соли замесить дрожжевое тесто. Дать ему подняться. Готовое тесто разделать на круглые</t>
  </si>
  <si>
    <t xml:space="preserve"> лепешки, уложить их на смазанный маслом противень и дать подняться. Затем сделать </t>
  </si>
  <si>
    <t xml:space="preserve">в лепешках углубления, которые заполнить повидлом, сверху смазать яйцом </t>
  </si>
  <si>
    <t>и выпекать при температуре 230-240С  в жарочном шкафу.</t>
  </si>
  <si>
    <t>Кисель из клюквы</t>
  </si>
  <si>
    <t>Выход 200</t>
  </si>
  <si>
    <t>клюква</t>
  </si>
  <si>
    <t>Ягоды перебирают, промывают, кладут в холодную воду, варят в течении 10-15мин.</t>
  </si>
  <si>
    <t>Настаивают 30-40 мин.,отвар процеживают, добавляют сахар, вводят крахмал,</t>
  </si>
  <si>
    <t>разведенный холодной кипяченой водой, доводят до кипения.</t>
  </si>
  <si>
    <r>
      <t>2-ой вариант:</t>
    </r>
    <r>
      <rPr>
        <sz val="12"/>
        <rFont val="Arial Cyr"/>
        <family val="2"/>
      </rPr>
      <t xml:space="preserve">Ягоды перебирать,промыть, обдать кипятком, размять, добавить немного </t>
    </r>
  </si>
  <si>
    <t>холодной кипяченой воды,размешать, отжать через марлю сок. Выжимки залить горячей</t>
  </si>
  <si>
    <t xml:space="preserve"> водой,прокипятить, процедить .Немного отвара остудить, развести в нем крахмал.</t>
  </si>
  <si>
    <t xml:space="preserve"> В остальной отвар всыпать сахар, довести до кипения, влить,помешивая, крахмал</t>
  </si>
  <si>
    <t xml:space="preserve">,разведенный отваром, дать еще раз вскипеть. Когда кисель немного остынет, </t>
  </si>
  <si>
    <t>влить в него отжатый сок.</t>
  </si>
  <si>
    <t>Суп Крестьянский со сметаной</t>
  </si>
  <si>
    <t>выход 250гр.</t>
  </si>
  <si>
    <t>Суп Крестьянский  со сметаной</t>
  </si>
  <si>
    <t>Куриный бульон</t>
  </si>
  <si>
    <t>всего</t>
  </si>
  <si>
    <t xml:space="preserve">Приготовленные морковь и репчатый лук мелко нашинковать, припустить в небольшом </t>
  </si>
  <si>
    <t xml:space="preserve">количестве овощного отвара с добавлением масла. В кипящий бульон положить </t>
  </si>
  <si>
    <t xml:space="preserve">промытое пшено, а через несколько минут- мелко нарезанный картофель, сварить </t>
  </si>
  <si>
    <t xml:space="preserve"> всё до готовности, соединить с готовыми тушеными овощами, добавить сметану </t>
  </si>
  <si>
    <r>
      <t>и прокипятить.</t>
    </r>
    <r>
      <rPr>
        <b/>
        <sz val="12"/>
        <rFont val="Arial"/>
        <family val="2"/>
      </rPr>
      <t xml:space="preserve"> Требования</t>
    </r>
    <r>
      <rPr>
        <sz val="12"/>
        <rFont val="Arial"/>
        <family val="2"/>
      </rPr>
      <t xml:space="preserve">: консистенция крупы и картофеля мягкая, цвет супа </t>
    </r>
  </si>
  <si>
    <t>светло желтый, вкус и запах свойственные продуктам .</t>
  </si>
  <si>
    <t>Ёжики мясные в молочном соусе</t>
  </si>
  <si>
    <t>Выход  160 гр.</t>
  </si>
  <si>
    <t>Ёжики мясные в  соусе</t>
  </si>
  <si>
    <t>СОУС:        Масло сливочное</t>
  </si>
  <si>
    <t>Мясо, зачищенное от грубой соединительной ткани,</t>
  </si>
  <si>
    <t>пропускают вместе с луком через мясорубку. Рис отваривают. Мясной фарш соединяют с</t>
  </si>
  <si>
    <t>рисом и яйцом, перемешивают и формуют ежики в виде шариков по 2 шт на порцию,</t>
  </si>
  <si>
    <t>кладут  в посуду, заливают соусом и тушат 20-25 минут.</t>
  </si>
  <si>
    <r>
      <t>Требования</t>
    </r>
    <r>
      <rPr>
        <sz val="14"/>
        <rFont val="Times New Roman"/>
        <family val="1"/>
      </rPr>
      <t xml:space="preserve"> :</t>
    </r>
  </si>
  <si>
    <t>ёжики круглой формы, не развалившиеся, сочные, поверхность</t>
  </si>
  <si>
    <t>серовато-кремовая,вкус и запах свойственные тушеному мясу.</t>
  </si>
  <si>
    <t>Пудинг рыбный запеченный</t>
  </si>
  <si>
    <t>выход 80гр.</t>
  </si>
  <si>
    <t>Пудинг рыбный запеченый в молочном  соусе</t>
  </si>
  <si>
    <t>Рыбу без кожи нарезать небольшими кусками, положить</t>
  </si>
  <si>
    <t xml:space="preserve">в кастрюлю, добавить воду и припустить до готовности. Когда остынет, пропустить через </t>
  </si>
  <si>
    <t xml:space="preserve">мясорубку, добавить яичный желток, сливочное масло, хорошо вымесить, ввести  </t>
  </si>
  <si>
    <t xml:space="preserve">взбитые белки. Массу выложить на противень смазанный маслом, залить </t>
  </si>
  <si>
    <t>молочным соусом и запечь в жарочном шкафу 25-30 мин при температуре 220-230С</t>
  </si>
  <si>
    <t xml:space="preserve"> Вкус и запах свойственные отварной рыбе.</t>
  </si>
  <si>
    <t>Картофель запеченный в молочном соусе  с сыром</t>
  </si>
  <si>
    <t>Выход  150 гр.</t>
  </si>
  <si>
    <t xml:space="preserve">Отваренный в подсоленной воде очищенный картофель </t>
  </si>
  <si>
    <t>нарезать ломтиками, уложить на смазанную сливочным маслом сковороду,</t>
  </si>
  <si>
    <t xml:space="preserve"> полить молочным соусом, посыпать тёртым сыром, сбрызнуть растопленным сливочным </t>
  </si>
  <si>
    <t>маслом и запечь в жарочном шкафу.</t>
  </si>
  <si>
    <t>Галушки творожные</t>
  </si>
  <si>
    <t>Выход  120 гр.</t>
  </si>
  <si>
    <t>В протертый творог добавить яйцо, муку, манную крупу, сахар,</t>
  </si>
  <si>
    <t>часть сливочного масла, вымешать , скатать в виде жгута и нарезать его  на кусочки.</t>
  </si>
  <si>
    <t xml:space="preserve">Галушки опустить в кипящую подсоленную воду и варить до готовности. </t>
  </si>
  <si>
    <t>Подавать с кипяченой сметаной.</t>
  </si>
  <si>
    <t>Рыба запеченная с овощами в сметанном соусе с сыром</t>
  </si>
  <si>
    <t>Выход  80 гр.</t>
  </si>
  <si>
    <t xml:space="preserve">Соус Сметанный:        </t>
  </si>
  <si>
    <t>Морковь и лук нарезать соломкой, слегка спассеровать. Рыбу  отварить в небольшом</t>
  </si>
  <si>
    <t xml:space="preserve">количестве воды,филе отделить от костей, соединить с пассерованными овощами, </t>
  </si>
  <si>
    <t>залить сметанным соусом,посыпать неострым тертым сыром  и запечь  в духовке.</t>
  </si>
  <si>
    <t>Гуляш  из отварного мяса</t>
  </si>
  <si>
    <t>нетто</t>
  </si>
  <si>
    <t>белки</t>
  </si>
  <si>
    <t>жиры</t>
  </si>
  <si>
    <t>углеводы</t>
  </si>
  <si>
    <r>
      <t xml:space="preserve">Технология приготовления: </t>
    </r>
    <r>
      <rPr>
        <sz val="10"/>
        <rFont val="Arial Cyr"/>
        <family val="2"/>
      </rPr>
      <t>Нарезать небольшими кусочками отварное мясо . В измельченные</t>
    </r>
  </si>
  <si>
    <t xml:space="preserve"> пассерованные лук и морковь  добавляют томатно-сметанный соус.   Готовый соус добавляют в мясо и</t>
  </si>
  <si>
    <t xml:space="preserve"> всё кипятят 10-15 мин.</t>
  </si>
  <si>
    <t xml:space="preserve">Требования: </t>
  </si>
  <si>
    <t xml:space="preserve">консистенция сочная, мягкая; соуса однородная. Вкус и запах свойственные </t>
  </si>
  <si>
    <t>тушеному мясу.</t>
  </si>
  <si>
    <t>Бефстроганов  из индейки</t>
  </si>
  <si>
    <t>Выход  70/30</t>
  </si>
  <si>
    <t>индейка</t>
  </si>
  <si>
    <r>
      <t xml:space="preserve">Технология приготовления: </t>
    </r>
    <r>
      <rPr>
        <sz val="10"/>
        <rFont val="Arial"/>
        <family val="2"/>
      </rPr>
      <t>Мясо нарезают ломтиками 1-1,5см, залить водой, тушить до готовности.</t>
    </r>
  </si>
  <si>
    <t>Отдельно  спассеровать лук и морковь  с    мукой. Добавить томатную пасту соль,  сметану, воду (бульон)</t>
  </si>
  <si>
    <t>всё перемешать и прокипятить. Мясо залить соусом и всё протушить 10-15 мин.</t>
  </si>
  <si>
    <t>Требования :</t>
  </si>
  <si>
    <t>консистенция сочная, мягкая; соуса однородная. Вкус и запах мяса приятный.</t>
  </si>
  <si>
    <t>Котлеты картофельные запеченные в сметанном соусе</t>
  </si>
  <si>
    <t>Выход 150/30гр.</t>
  </si>
  <si>
    <t>150/30</t>
  </si>
  <si>
    <t>Соус: Сметана</t>
  </si>
  <si>
    <r>
      <t xml:space="preserve">Технология приготовления: </t>
    </r>
    <r>
      <rPr>
        <sz val="10"/>
        <rFont val="Arial"/>
        <family val="2"/>
      </rPr>
      <t>Отваренный в подсоленной воде очищенный картофель пропустить через мясорубку, добавить</t>
    </r>
  </si>
  <si>
    <t>припущенный в сливочном масле мелко нарезанный лук,  добавить соль, яйцо, муку, всё  перемешать.</t>
  </si>
  <si>
    <t xml:space="preserve">Из картофельной массы сформовать котлеты, обвалять их в муке ,  уложить на смазанный маслом противень, залить сметанным соусом и </t>
  </si>
  <si>
    <t>запечь в духовке при температуре 200-230С.</t>
  </si>
  <si>
    <t>Бульон с яичными хлопьями</t>
  </si>
  <si>
    <t>Выход 250 гр.</t>
  </si>
  <si>
    <t>куриный бульон</t>
  </si>
  <si>
    <t>Зелень сухая</t>
  </si>
  <si>
    <t xml:space="preserve">В готовый бульон добавляют пассерованные морковь и лук, солят.  Сырые яйца ( обработанные по требования СанПин) </t>
  </si>
  <si>
    <t>слегка взбивают, постепенно добавляя к ним теплый мясной бульон. Полученную массу влить в кипящий</t>
  </si>
  <si>
    <t xml:space="preserve">бульон, всё время помешивая, до образования мелких хлопьев. Подержать бульон на слабом огне несколько минут, </t>
  </si>
  <si>
    <t xml:space="preserve"> пока вновь не станет прозрачным.</t>
  </si>
  <si>
    <t>Рыба запеченная с овощами в томатном соусе</t>
  </si>
  <si>
    <t>залить томатным соусом, запечь  в духовке.</t>
  </si>
  <si>
    <t xml:space="preserve">Фрикадельки  рыбные                 </t>
  </si>
  <si>
    <t xml:space="preserve">Филе рыбное пропустить через мясорубку, приготовить фарш, как для котлет, разделать на небольшие </t>
  </si>
  <si>
    <t>шарики, поместить их на сковороду(противень) с небольшим количеством воды(1/2 высоты фрикадельки)</t>
  </si>
  <si>
    <r>
      <t>и тушить под крышкой 20-25мин при t 250-280</t>
    </r>
    <r>
      <rPr>
        <sz val="9"/>
        <rFont val="Tahoma"/>
        <family val="2"/>
      </rPr>
      <t>°С</t>
    </r>
    <r>
      <rPr>
        <sz val="9"/>
        <rFont val="Arial Cyr"/>
        <family val="2"/>
      </rPr>
      <t>.Готовые фрикадельки залить соусом и прокипятить.</t>
    </r>
  </si>
  <si>
    <t>фрикадельки круглой формы, неразвалившиеся,  сочные; поверхность- серовато-кремовая;</t>
  </si>
  <si>
    <t>вкус и запах свойственные тушеной рыбе.</t>
  </si>
  <si>
    <t>Суп Гречневый</t>
  </si>
  <si>
    <t xml:space="preserve">Промытую гречневую крупу, а через несколько минут- мелко нарезанный картофель, сварить </t>
  </si>
  <si>
    <t xml:space="preserve"> всё до готовности, соединить с готовыми тушеными овощами. Все прокипятить.</t>
  </si>
  <si>
    <r>
      <t xml:space="preserve"> Требования</t>
    </r>
    <r>
      <rPr>
        <sz val="12"/>
        <rFont val="Arial"/>
        <family val="2"/>
      </rPr>
      <t xml:space="preserve">: консистенция крупы и картофеля мягкая, цвет супа </t>
    </r>
  </si>
  <si>
    <t>светло коричневый, вкус и запах свойственные продуктам .</t>
  </si>
  <si>
    <t>Cоте куриное из отварной курицы</t>
  </si>
  <si>
    <t>ккал</t>
  </si>
  <si>
    <t>Курица</t>
  </si>
  <si>
    <t>Отварную курицу пропустить через мясорубку вместе</t>
  </si>
  <si>
    <t>с размоченным в молоке белым хлебом .Добавить яйцо, молоко, хорошо взбить.</t>
  </si>
  <si>
    <r>
      <t>Массу выложить на смазанный маслом  противень, поставить в жарочный шкаф,запекать 20-30мин при t 220-280</t>
    </r>
    <r>
      <rPr>
        <sz val="10"/>
        <color indexed="8"/>
        <rFont val="Tahoma"/>
        <family val="2"/>
      </rPr>
      <t>°С.</t>
    </r>
  </si>
  <si>
    <t>Выход 180 гр</t>
  </si>
  <si>
    <t>Мелко разломанные макароны опустить в кипящую подсоленную воду и варить около 20 мин. Затем воду слить, макароны</t>
  </si>
  <si>
    <t xml:space="preserve">заправить сливочным маслом, когда немного остынут, соединить с яично-молочной смесью. Половину макарон выложить </t>
  </si>
  <si>
    <t>на смазанный сливочным маслом противень, разровнять, сверху положить  фарш из отварного мяса, а затем</t>
  </si>
  <si>
    <t xml:space="preserve"> слой оставшихся макарон, Поверхность запеканки смазать сливочным маслом и сметаной. Запекать в духовке 25-30 мин.</t>
  </si>
  <si>
    <t>при t 220-280градусов.</t>
  </si>
  <si>
    <t>Выход  70 гр.</t>
  </si>
  <si>
    <r>
      <t>Технология приготовления</t>
    </r>
    <r>
      <rPr>
        <sz val="10"/>
        <rFont val="Arial"/>
        <family val="2"/>
      </rPr>
      <t xml:space="preserve">:Рыбу отварить, охладить, отделить филе, пропустить через мясорубку, добавить припущенный лук </t>
    </r>
  </si>
  <si>
    <t xml:space="preserve">в фарш. Разделить массу на 2 части. Одну часть выложить на смазанную форму и полить половиной густого молочного </t>
  </si>
  <si>
    <t xml:space="preserve">соуса со взбитым яйцом, поверх уложить вторую часть рыбы и полить остальным соусом. Запечь в духовке 25-30 мин </t>
  </si>
  <si>
    <t>при t 250-280градусов.</t>
  </si>
  <si>
    <t>Используемая литература:</t>
  </si>
  <si>
    <t>«Организация детского питания в дошкольных учреждениях»-методические рекомендации и материалы, 2006г.Авт, сост,И.Я.Конь,Л.И.Басова</t>
  </si>
  <si>
    <t>,С.А.Димитриева, Л.Я.Каневская,М.М.Цапенко.</t>
  </si>
  <si>
    <t>«Детское питание» - Дерюгина М.П.,Домбовский В.Ю.-1995г.</t>
  </si>
  <si>
    <t>«Химический состав российских продуктов питания»-2002г. Под ред.И.М Скурихина, В.А.Тутельяна.</t>
  </si>
  <si>
    <r>
      <t>«СанПин — 2.4.1.2660-10»</t>
    </r>
    <r>
      <rPr>
        <sz val="11"/>
        <rFont val="Arial Cyr"/>
        <family val="2"/>
      </rPr>
      <t xml:space="preserve"> </t>
    </r>
    <r>
      <rPr>
        <sz val="11"/>
        <rFont val="Times New Roman"/>
        <family val="1"/>
      </rPr>
      <t xml:space="preserve">Санитарно-эпидемиологические требования к устройству, содержанию и организации режима работы в </t>
    </r>
  </si>
  <si>
    <t xml:space="preserve">дошкольных организациях </t>
  </si>
  <si>
    <t>выход 180гр.</t>
  </si>
  <si>
    <t>Говядину нарезают кусочками.Капусту нарезают шашками или соломкой, варят в кипящей</t>
  </si>
  <si>
    <t>подсоленной воде 5-10мин.,затем отвар сливают. Лук и морковь пассеруют с добавлением масла (и томат-пасты).</t>
  </si>
  <si>
    <t>В отварную капусту добавляют припущенные овощи, растительное масло</t>
  </si>
  <si>
    <t>и воду(20-30%) к массе и тушат  до готовности.</t>
  </si>
  <si>
    <t xml:space="preserve">Требовния: </t>
  </si>
  <si>
    <t>Консистенция капусты мягкая, вкус и запах свойственные тушеной капусте и мяса.</t>
  </si>
  <si>
    <t>Плов с  отварной курицей</t>
  </si>
  <si>
    <r>
      <t>Технология приготовления:</t>
    </r>
    <r>
      <rPr>
        <sz val="12"/>
        <rFont val="Arial Cyr"/>
        <family val="2"/>
      </rPr>
      <t xml:space="preserve">Мелко нашинкованные морковь и лук потушить с   маслом.Затем залить </t>
    </r>
  </si>
  <si>
    <t xml:space="preserve">их бульоном или овощным отваром, довести до кипения,положить сваренную и нарезанноую кусочками </t>
  </si>
  <si>
    <t>курицу, вновь довести до кипения.К мясу и овощам добавить хорошо промытый рис, варить при медленном</t>
  </si>
  <si>
    <t xml:space="preserve"> кипении, пока масса не загустеет, потом накрытьпосуду крышкой и поставить в духовку на 50мин.</t>
  </si>
  <si>
    <t>Гречка по-Купечески</t>
  </si>
  <si>
    <t>выход 200гр</t>
  </si>
  <si>
    <t>Мелко  нашинкованные морковь и лук пассеровать на  масле,</t>
  </si>
  <si>
    <t>добавить воды или овощного отвара, довести до кипения. Добавить  отварную курицу нарезанную</t>
  </si>
  <si>
    <t>кусочками,вновь довести до кипения. К мясу и овощам добавить хорошо промытую гречку, варить</t>
  </si>
  <si>
    <t>при медленном кипении, пока масса не загустеет, потом накрыть посуду крышкой и поставить в жарочный шкаф</t>
  </si>
  <si>
    <r>
      <t>При t180-200</t>
    </r>
    <r>
      <rPr>
        <sz val="10"/>
        <rFont val="Tahoma"/>
        <family val="2"/>
      </rPr>
      <t>ºС н</t>
    </r>
    <r>
      <rPr>
        <sz val="10"/>
        <rFont val="Arial Cyr"/>
        <family val="2"/>
      </rPr>
      <t>а  20-30мин.</t>
    </r>
  </si>
  <si>
    <t>Гречка хорошо набухшая, рассыпчатая. Вкус и запах, свойственные набору продуктов.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</si>
</sst>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hh:mm"/>
    <numFmt numFmtId="167" formatCode="0.0"/>
    <numFmt numFmtId="168" formatCode="0.00000"/>
    <numFmt numFmtId="169" formatCode="#"/>
  </numFmts>
  <fonts count="73"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0"/>
      <color indexed="16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sz val="8"/>
      <name val="Arial"/>
      <family val="2"/>
    </font>
    <font>
      <sz val="12"/>
      <name val="Arial"/>
      <family val="2"/>
    </font>
    <font>
      <b/>
      <sz val="10.5"/>
      <name val="Arial Cyr"/>
      <family val="2"/>
    </font>
    <font>
      <sz val="11"/>
      <name val="Arial"/>
      <family val="2"/>
    </font>
    <font>
      <sz val="12"/>
      <color indexed="8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0.5"/>
      <name val="Arial Cyr"/>
      <family val="2"/>
    </font>
    <font>
      <b/>
      <sz val="10.5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Times New Roman"/>
      <family val="1"/>
    </font>
    <font>
      <sz val="13"/>
      <color indexed="8"/>
      <name val="Arial"/>
      <family val="2"/>
    </font>
    <font>
      <sz val="9"/>
      <name val="Arial Cyr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89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" fontId="3" fillId="0" borderId="11" xfId="33" applyNumberFormat="1" applyBorder="1" applyAlignment="1">
      <alignment horizontal="right"/>
      <protection/>
    </xf>
    <xf numFmtId="2" fontId="3" fillId="0" borderId="11" xfId="33" applyNumberFormat="1" applyFont="1" applyBorder="1" applyAlignment="1">
      <alignment horizontal="right"/>
      <protection/>
    </xf>
    <xf numFmtId="2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3" fillId="0" borderId="18" xfId="33" applyFont="1" applyBorder="1">
      <alignment/>
      <protection/>
    </xf>
    <xf numFmtId="0" fontId="3" fillId="0" borderId="0" xfId="33" applyBorder="1">
      <alignment/>
      <protection/>
    </xf>
    <xf numFmtId="0" fontId="1" fillId="0" borderId="19" xfId="33" applyFont="1" applyBorder="1" applyAlignment="1">
      <alignment horizontal="center"/>
      <protection/>
    </xf>
    <xf numFmtId="164" fontId="3" fillId="0" borderId="20" xfId="33" applyNumberFormat="1" applyBorder="1">
      <alignment/>
      <protection/>
    </xf>
    <xf numFmtId="0" fontId="3" fillId="0" borderId="20" xfId="33" applyBorder="1">
      <alignment/>
      <protection/>
    </xf>
    <xf numFmtId="2" fontId="3" fillId="0" borderId="20" xfId="33" applyNumberFormat="1" applyBorder="1" applyAlignment="1">
      <alignment horizontal="right"/>
      <protection/>
    </xf>
    <xf numFmtId="2" fontId="3" fillId="0" borderId="20" xfId="33" applyNumberFormat="1" applyFont="1" applyBorder="1" applyAlignment="1">
      <alignment horizontal="right"/>
      <protection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30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 horizontal="center"/>
    </xf>
    <xf numFmtId="165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164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16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 horizontal="right"/>
    </xf>
    <xf numFmtId="0" fontId="3" fillId="0" borderId="12" xfId="33" applyBorder="1" applyAlignment="1">
      <alignment horizontal="right"/>
      <protection/>
    </xf>
    <xf numFmtId="0" fontId="3" fillId="0" borderId="36" xfId="33" applyBorder="1" applyAlignment="1">
      <alignment horizontal="right"/>
      <protection/>
    </xf>
    <xf numFmtId="0" fontId="1" fillId="0" borderId="37" xfId="0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/>
    </xf>
    <xf numFmtId="164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/>
    </xf>
    <xf numFmtId="2" fontId="0" fillId="0" borderId="38" xfId="0" applyNumberFormat="1" applyFill="1" applyBorder="1" applyAlignment="1">
      <alignment horizontal="right"/>
    </xf>
    <xf numFmtId="2" fontId="1" fillId="0" borderId="38" xfId="0" applyNumberFormat="1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164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/>
    </xf>
    <xf numFmtId="2" fontId="0" fillId="0" borderId="28" xfId="0" applyNumberFormat="1" applyFill="1" applyBorder="1" applyAlignment="1">
      <alignment horizontal="right"/>
    </xf>
    <xf numFmtId="2" fontId="1" fillId="0" borderId="28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1" fillId="0" borderId="37" xfId="33" applyFont="1" applyFill="1" applyBorder="1" applyAlignment="1">
      <alignment horizontal="left"/>
      <protection/>
    </xf>
    <xf numFmtId="0" fontId="1" fillId="0" borderId="15" xfId="33" applyFont="1" applyFill="1" applyBorder="1" applyAlignment="1">
      <alignment horizontal="center"/>
      <protection/>
    </xf>
    <xf numFmtId="0" fontId="3" fillId="0" borderId="16" xfId="33" applyFill="1" applyBorder="1" applyAlignment="1">
      <alignment horizontal="center"/>
      <protection/>
    </xf>
    <xf numFmtId="2" fontId="3" fillId="0" borderId="16" xfId="33" applyNumberFormat="1" applyFill="1" applyBorder="1" applyAlignment="1">
      <alignment horizontal="right"/>
      <protection/>
    </xf>
    <xf numFmtId="2" fontId="1" fillId="0" borderId="16" xfId="33" applyNumberFormat="1" applyFont="1" applyFill="1" applyBorder="1" applyAlignment="1">
      <alignment horizontal="right"/>
      <protection/>
    </xf>
    <xf numFmtId="0" fontId="1" fillId="0" borderId="16" xfId="33" applyFont="1" applyFill="1" applyBorder="1" applyAlignment="1">
      <alignment horizontal="right"/>
      <protection/>
    </xf>
    <xf numFmtId="0" fontId="1" fillId="0" borderId="17" xfId="33" applyFont="1" applyFill="1" applyBorder="1" applyAlignment="1">
      <alignment horizontal="right"/>
      <protection/>
    </xf>
    <xf numFmtId="0" fontId="1" fillId="0" borderId="12" xfId="33" applyFont="1" applyFill="1" applyBorder="1" applyAlignment="1">
      <alignment horizontal="center"/>
      <protection/>
    </xf>
    <xf numFmtId="164" fontId="3" fillId="0" borderId="12" xfId="33" applyNumberFormat="1" applyFill="1" applyBorder="1" applyAlignment="1">
      <alignment horizontal="center"/>
      <protection/>
    </xf>
    <xf numFmtId="0" fontId="3" fillId="0" borderId="12" xfId="33" applyFill="1" applyBorder="1" applyAlignment="1">
      <alignment horizontal="right"/>
      <protection/>
    </xf>
    <xf numFmtId="2" fontId="3" fillId="0" borderId="12" xfId="33" applyNumberFormat="1" applyFill="1" applyBorder="1" applyAlignment="1">
      <alignment horizontal="right"/>
      <protection/>
    </xf>
    <xf numFmtId="2" fontId="3" fillId="0" borderId="12" xfId="33" applyNumberFormat="1" applyFont="1" applyFill="1" applyBorder="1" applyAlignment="1">
      <alignment horizontal="right"/>
      <protection/>
    </xf>
    <xf numFmtId="0" fontId="1" fillId="0" borderId="36" xfId="33" applyFont="1" applyFill="1" applyBorder="1" applyAlignment="1">
      <alignment horizontal="right"/>
      <protection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1" fillId="33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/>
    </xf>
    <xf numFmtId="0" fontId="1" fillId="33" borderId="42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center"/>
    </xf>
    <xf numFmtId="9" fontId="1" fillId="33" borderId="42" xfId="0" applyNumberFormat="1" applyFont="1" applyFill="1" applyBorder="1" applyAlignment="1">
      <alignment horizontal="center"/>
    </xf>
    <xf numFmtId="2" fontId="1" fillId="33" borderId="42" xfId="0" applyNumberFormat="1" applyFont="1" applyFill="1" applyBorder="1" applyAlignment="1">
      <alignment horizontal="right"/>
    </xf>
    <xf numFmtId="0" fontId="6" fillId="33" borderId="4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3" fillId="0" borderId="18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0" fontId="1" fillId="0" borderId="40" xfId="0" applyNumberFormat="1" applyFont="1" applyBorder="1" applyAlignment="1">
      <alignment horizontal="right"/>
    </xf>
    <xf numFmtId="0" fontId="6" fillId="0" borderId="44" xfId="0" applyFont="1" applyBorder="1" applyAlignment="1">
      <alignment/>
    </xf>
    <xf numFmtId="0" fontId="7" fillId="0" borderId="45" xfId="0" applyFont="1" applyBorder="1" applyAlignment="1">
      <alignment/>
    </xf>
    <xf numFmtId="10" fontId="7" fillId="0" borderId="45" xfId="0" applyNumberFormat="1" applyFont="1" applyBorder="1" applyAlignment="1">
      <alignment/>
    </xf>
    <xf numFmtId="0" fontId="7" fillId="0" borderId="45" xfId="0" applyFont="1" applyBorder="1" applyAlignment="1">
      <alignment horizontal="center"/>
    </xf>
    <xf numFmtId="2" fontId="7" fillId="0" borderId="45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3" fillId="33" borderId="31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10" fontId="7" fillId="33" borderId="45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2" fontId="7" fillId="33" borderId="45" xfId="0" applyNumberFormat="1" applyFont="1" applyFill="1" applyBorder="1" applyAlignment="1">
      <alignment horizontal="right"/>
    </xf>
    <xf numFmtId="2" fontId="6" fillId="33" borderId="45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right"/>
    </xf>
    <xf numFmtId="10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2" fontId="0" fillId="0" borderId="42" xfId="0" applyNumberFormat="1" applyBorder="1" applyAlignment="1">
      <alignment horizontal="right"/>
    </xf>
    <xf numFmtId="0" fontId="0" fillId="0" borderId="42" xfId="0" applyBorder="1" applyAlignment="1">
      <alignment horizontal="right"/>
    </xf>
    <xf numFmtId="9" fontId="1" fillId="0" borderId="43" xfId="0" applyNumberFormat="1" applyFont="1" applyBorder="1" applyAlignment="1">
      <alignment horizontal="right"/>
    </xf>
    <xf numFmtId="10" fontId="2" fillId="0" borderId="37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9" fontId="0" fillId="0" borderId="48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49" xfId="33" applyFont="1" applyBorder="1">
      <alignment/>
      <protection/>
    </xf>
    <xf numFmtId="0" fontId="3" fillId="0" borderId="50" xfId="33" applyBorder="1">
      <alignment/>
      <protection/>
    </xf>
    <xf numFmtId="0" fontId="1" fillId="0" borderId="51" xfId="33" applyFont="1" applyBorder="1">
      <alignment/>
      <protection/>
    </xf>
    <xf numFmtId="164" fontId="3" fillId="0" borderId="52" xfId="33" applyNumberFormat="1" applyBorder="1" applyAlignment="1">
      <alignment horizontal="right"/>
      <protection/>
    </xf>
    <xf numFmtId="0" fontId="3" fillId="0" borderId="52" xfId="33" applyBorder="1" applyAlignment="1">
      <alignment horizontal="right"/>
      <protection/>
    </xf>
    <xf numFmtId="2" fontId="3" fillId="0" borderId="52" xfId="33" applyNumberFormat="1" applyBorder="1" applyAlignment="1">
      <alignment horizontal="right"/>
      <protection/>
    </xf>
    <xf numFmtId="2" fontId="3" fillId="0" borderId="52" xfId="33" applyNumberFormat="1" applyFont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0" fillId="0" borderId="36" xfId="0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1" fillId="0" borderId="53" xfId="0" applyFon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right"/>
    </xf>
    <xf numFmtId="0" fontId="3" fillId="0" borderId="28" xfId="33" applyFill="1" applyBorder="1" applyAlignment="1">
      <alignment horizontal="right"/>
      <protection/>
    </xf>
    <xf numFmtId="0" fontId="3" fillId="0" borderId="29" xfId="33" applyFill="1" applyBorder="1" applyAlignment="1">
      <alignment horizontal="righ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center"/>
      <protection/>
    </xf>
    <xf numFmtId="0" fontId="3" fillId="0" borderId="0" xfId="33" applyBorder="1" applyAlignment="1">
      <alignment horizontal="center"/>
      <protection/>
    </xf>
    <xf numFmtId="2" fontId="3" fillId="0" borderId="0" xfId="33" applyNumberFormat="1" applyBorder="1" applyAlignment="1">
      <alignment horizontal="right"/>
      <protection/>
    </xf>
    <xf numFmtId="2" fontId="1" fillId="0" borderId="0" xfId="33" applyNumberFormat="1" applyFont="1" applyBorder="1" applyAlignment="1">
      <alignment horizontal="right"/>
      <protection/>
    </xf>
    <xf numFmtId="0" fontId="1" fillId="0" borderId="0" xfId="33" applyFont="1" applyBorder="1" applyAlignment="1">
      <alignment horizontal="right"/>
      <protection/>
    </xf>
    <xf numFmtId="164" fontId="3" fillId="0" borderId="28" xfId="33" applyNumberFormat="1" applyBorder="1" applyAlignment="1">
      <alignment horizontal="right"/>
      <protection/>
    </xf>
    <xf numFmtId="0" fontId="3" fillId="0" borderId="28" xfId="33" applyBorder="1" applyAlignment="1">
      <alignment horizontal="right"/>
      <protection/>
    </xf>
    <xf numFmtId="2" fontId="3" fillId="0" borderId="28" xfId="33" applyNumberFormat="1" applyBorder="1" applyAlignment="1">
      <alignment horizontal="right"/>
      <protection/>
    </xf>
    <xf numFmtId="2" fontId="3" fillId="0" borderId="28" xfId="33" applyNumberFormat="1" applyFont="1" applyBorder="1" applyAlignment="1">
      <alignment horizontal="right"/>
      <protection/>
    </xf>
    <xf numFmtId="0" fontId="3" fillId="0" borderId="29" xfId="33" applyBorder="1" applyAlignment="1">
      <alignment horizontal="right"/>
      <protection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29" xfId="33" applyFont="1" applyBorder="1" applyAlignment="1">
      <alignment horizontal="right"/>
      <protection/>
    </xf>
    <xf numFmtId="0" fontId="3" fillId="0" borderId="0" xfId="33" applyFont="1" applyBorder="1">
      <alignment/>
      <protection/>
    </xf>
    <xf numFmtId="164" fontId="3" fillId="0" borderId="0" xfId="33" applyNumberFormat="1" applyBorder="1" applyAlignment="1">
      <alignment horizontal="right"/>
      <protection/>
    </xf>
    <xf numFmtId="0" fontId="3" fillId="0" borderId="0" xfId="33" applyBorder="1" applyAlignment="1">
      <alignment horizontal="right"/>
      <protection/>
    </xf>
    <xf numFmtId="2" fontId="3" fillId="0" borderId="0" xfId="33" applyNumberFormat="1" applyFont="1" applyBorder="1" applyAlignment="1">
      <alignment horizontal="right"/>
      <protection/>
    </xf>
    <xf numFmtId="0" fontId="3" fillId="0" borderId="55" xfId="33" applyFont="1" applyFill="1" applyBorder="1">
      <alignment/>
      <protection/>
    </xf>
    <xf numFmtId="0" fontId="3" fillId="0" borderId="56" xfId="33" applyFill="1" applyBorder="1">
      <alignment/>
      <protection/>
    </xf>
    <xf numFmtId="0" fontId="3" fillId="0" borderId="35" xfId="33" applyFill="1" applyBorder="1" applyAlignment="1">
      <alignment horizontal="center"/>
      <protection/>
    </xf>
    <xf numFmtId="165" fontId="3" fillId="0" borderId="35" xfId="33" applyNumberFormat="1" applyFill="1" applyBorder="1">
      <alignment/>
      <protection/>
    </xf>
    <xf numFmtId="0" fontId="3" fillId="0" borderId="35" xfId="33" applyFill="1" applyBorder="1">
      <alignment/>
      <protection/>
    </xf>
    <xf numFmtId="2" fontId="3" fillId="0" borderId="35" xfId="33" applyNumberFormat="1" applyFill="1" applyBorder="1" applyAlignment="1">
      <alignment horizontal="right"/>
      <protection/>
    </xf>
    <xf numFmtId="0" fontId="3" fillId="0" borderId="35" xfId="33" applyFill="1" applyBorder="1" applyAlignment="1">
      <alignment horizontal="right"/>
      <protection/>
    </xf>
    <xf numFmtId="0" fontId="3" fillId="0" borderId="57" xfId="33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0" xfId="33" applyFont="1" applyBorder="1" applyAlignment="1">
      <alignment horizontal="right"/>
      <protection/>
    </xf>
    <xf numFmtId="0" fontId="3" fillId="0" borderId="58" xfId="33" applyFont="1" applyFill="1" applyBorder="1">
      <alignment/>
      <protection/>
    </xf>
    <xf numFmtId="0" fontId="3" fillId="0" borderId="59" xfId="33" applyFill="1" applyBorder="1">
      <alignment/>
      <protection/>
    </xf>
    <xf numFmtId="0" fontId="1" fillId="0" borderId="51" xfId="33" applyFont="1" applyFill="1" applyBorder="1" applyAlignment="1">
      <alignment horizontal="center"/>
      <protection/>
    </xf>
    <xf numFmtId="164" fontId="0" fillId="0" borderId="52" xfId="0" applyNumberFormat="1" applyFill="1" applyBorder="1" applyAlignment="1">
      <alignment/>
    </xf>
    <xf numFmtId="0" fontId="0" fillId="0" borderId="52" xfId="0" applyFill="1" applyBorder="1" applyAlignment="1">
      <alignment/>
    </xf>
    <xf numFmtId="2" fontId="0" fillId="0" borderId="52" xfId="0" applyNumberFormat="1" applyFill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right"/>
    </xf>
    <xf numFmtId="0" fontId="3" fillId="0" borderId="0" xfId="33" applyFont="1" applyBorder="1" applyAlignment="1">
      <alignment horizontal="center"/>
      <protection/>
    </xf>
    <xf numFmtId="0" fontId="3" fillId="0" borderId="31" xfId="33" applyFont="1" applyFill="1" applyBorder="1">
      <alignment/>
      <protection/>
    </xf>
    <xf numFmtId="0" fontId="3" fillId="0" borderId="32" xfId="33" applyFont="1" applyFill="1" applyBorder="1">
      <alignment/>
      <protection/>
    </xf>
    <xf numFmtId="0" fontId="3" fillId="0" borderId="32" xfId="33" applyFill="1" applyBorder="1">
      <alignment/>
      <protection/>
    </xf>
    <xf numFmtId="0" fontId="3" fillId="0" borderId="28" xfId="33" applyFill="1" applyBorder="1" applyAlignment="1">
      <alignment horizontal="center"/>
      <protection/>
    </xf>
    <xf numFmtId="164" fontId="3" fillId="0" borderId="25" xfId="33" applyNumberFormat="1" applyFill="1" applyBorder="1">
      <alignment/>
      <protection/>
    </xf>
    <xf numFmtId="0" fontId="3" fillId="0" borderId="25" xfId="33" applyFill="1" applyBorder="1">
      <alignment/>
      <protection/>
    </xf>
    <xf numFmtId="2" fontId="3" fillId="0" borderId="25" xfId="33" applyNumberFormat="1" applyFill="1" applyBorder="1" applyAlignment="1">
      <alignment horizontal="right"/>
      <protection/>
    </xf>
    <xf numFmtId="2" fontId="3" fillId="0" borderId="11" xfId="33" applyNumberFormat="1" applyFont="1" applyFill="1" applyBorder="1" applyAlignment="1">
      <alignment horizontal="right"/>
      <protection/>
    </xf>
    <xf numFmtId="0" fontId="0" fillId="0" borderId="11" xfId="0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0" fontId="3" fillId="0" borderId="28" xfId="33" applyFont="1" applyFill="1" applyBorder="1" applyAlignment="1">
      <alignment horizontal="center"/>
      <protection/>
    </xf>
    <xf numFmtId="164" fontId="3" fillId="0" borderId="12" xfId="33" applyNumberFormat="1" applyFill="1" applyBorder="1">
      <alignment/>
      <protection/>
    </xf>
    <xf numFmtId="0" fontId="3" fillId="0" borderId="12" xfId="33" applyFill="1" applyBorder="1">
      <alignment/>
      <protection/>
    </xf>
    <xf numFmtId="0" fontId="3" fillId="0" borderId="36" xfId="33" applyFill="1" applyBorder="1" applyAlignment="1">
      <alignment horizontal="right"/>
      <protection/>
    </xf>
    <xf numFmtId="0" fontId="3" fillId="0" borderId="0" xfId="33" applyFont="1" applyFill="1" applyBorder="1">
      <alignment/>
      <protection/>
    </xf>
    <xf numFmtId="165" fontId="3" fillId="0" borderId="0" xfId="33" applyNumberFormat="1" applyFill="1" applyBorder="1">
      <alignment/>
      <protection/>
    </xf>
    <xf numFmtId="0" fontId="3" fillId="0" borderId="0" xfId="33" applyFill="1" applyBorder="1">
      <alignment/>
      <protection/>
    </xf>
    <xf numFmtId="2" fontId="3" fillId="0" borderId="0" xfId="33" applyNumberFormat="1" applyFill="1" applyBorder="1" applyAlignment="1">
      <alignment horizontal="right"/>
      <protection/>
    </xf>
    <xf numFmtId="0" fontId="3" fillId="0" borderId="0" xfId="33" applyFill="1" applyBorder="1" applyAlignment="1">
      <alignment horizontal="right"/>
      <protection/>
    </xf>
    <xf numFmtId="0" fontId="3" fillId="0" borderId="0" xfId="33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164" fontId="3" fillId="0" borderId="11" xfId="33" applyNumberFormat="1" applyFill="1" applyBorder="1">
      <alignment/>
      <protection/>
    </xf>
    <xf numFmtId="0" fontId="3" fillId="0" borderId="11" xfId="33" applyFill="1" applyBorder="1">
      <alignment/>
      <protection/>
    </xf>
    <xf numFmtId="2" fontId="3" fillId="0" borderId="11" xfId="33" applyNumberFormat="1" applyFill="1" applyBorder="1" applyAlignment="1">
      <alignment horizontal="right"/>
      <protection/>
    </xf>
    <xf numFmtId="0" fontId="3" fillId="0" borderId="29" xfId="33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37" xfId="33" applyFont="1" applyBorder="1" applyAlignment="1">
      <alignment horizontal="left"/>
      <protection/>
    </xf>
    <xf numFmtId="0" fontId="1" fillId="0" borderId="15" xfId="33" applyFont="1" applyBorder="1" applyAlignment="1">
      <alignment horizontal="center"/>
      <protection/>
    </xf>
    <xf numFmtId="0" fontId="3" fillId="0" borderId="16" xfId="33" applyBorder="1">
      <alignment/>
      <protection/>
    </xf>
    <xf numFmtId="2" fontId="3" fillId="0" borderId="16" xfId="33" applyNumberFormat="1" applyBorder="1" applyAlignment="1">
      <alignment horizontal="right"/>
      <protection/>
    </xf>
    <xf numFmtId="2" fontId="1" fillId="0" borderId="16" xfId="33" applyNumberFormat="1" applyFont="1" applyBorder="1" applyAlignment="1">
      <alignment horizontal="right"/>
      <protection/>
    </xf>
    <xf numFmtId="0" fontId="1" fillId="0" borderId="17" xfId="33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33" applyNumberFormat="1" applyFont="1" applyFill="1" applyBorder="1" applyAlignment="1">
      <alignment horizontal="right"/>
      <protection/>
    </xf>
    <xf numFmtId="0" fontId="3" fillId="0" borderId="28" xfId="0" applyFont="1" applyBorder="1" applyAlignment="1">
      <alignment horizontal="center"/>
    </xf>
    <xf numFmtId="2" fontId="3" fillId="0" borderId="28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7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2" fontId="0" fillId="33" borderId="42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0" fontId="1" fillId="0" borderId="37" xfId="33" applyFont="1" applyBorder="1">
      <alignment/>
      <protection/>
    </xf>
    <xf numFmtId="0" fontId="3" fillId="0" borderId="30" xfId="33" applyFont="1" applyBorder="1">
      <alignment/>
      <protection/>
    </xf>
    <xf numFmtId="0" fontId="1" fillId="0" borderId="16" xfId="33" applyFont="1" applyBorder="1" applyAlignment="1">
      <alignment horizontal="center"/>
      <protection/>
    </xf>
    <xf numFmtId="164" fontId="3" fillId="0" borderId="16" xfId="33" applyNumberFormat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0" xfId="33" applyFont="1" applyFill="1" applyBorder="1" applyAlignment="1">
      <alignment horizontal="center"/>
      <protection/>
    </xf>
    <xf numFmtId="164" fontId="3" fillId="0" borderId="0" xfId="33" applyNumberFormat="1" applyFill="1" applyBorder="1">
      <alignment/>
      <protection/>
    </xf>
    <xf numFmtId="2" fontId="1" fillId="0" borderId="0" xfId="33" applyNumberFormat="1" applyFont="1" applyFill="1" applyBorder="1" applyAlignment="1">
      <alignment horizontal="right"/>
      <protection/>
    </xf>
    <xf numFmtId="0" fontId="1" fillId="0" borderId="0" xfId="33" applyFont="1" applyFill="1" applyBorder="1" applyAlignment="1">
      <alignment horizontal="right"/>
      <protection/>
    </xf>
    <xf numFmtId="0" fontId="3" fillId="0" borderId="27" xfId="33" applyFont="1" applyFill="1" applyBorder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 applyAlignment="1">
      <alignment horizontal="center"/>
      <protection/>
    </xf>
    <xf numFmtId="164" fontId="3" fillId="0" borderId="25" xfId="33" applyNumberFormat="1" applyFont="1" applyFill="1" applyBorder="1">
      <alignment/>
      <protection/>
    </xf>
    <xf numFmtId="0" fontId="3" fillId="0" borderId="25" xfId="33" applyFont="1" applyFill="1" applyBorder="1">
      <alignment/>
      <protection/>
    </xf>
    <xf numFmtId="2" fontId="3" fillId="0" borderId="25" xfId="33" applyNumberFormat="1" applyFont="1" applyFill="1" applyBorder="1" applyAlignment="1">
      <alignment horizontal="right"/>
      <protection/>
    </xf>
    <xf numFmtId="2" fontId="3" fillId="0" borderId="28" xfId="33" applyNumberFormat="1" applyFont="1" applyFill="1" applyBorder="1" applyAlignment="1">
      <alignment horizontal="right"/>
      <protection/>
    </xf>
    <xf numFmtId="0" fontId="3" fillId="0" borderId="0" xfId="33" applyFont="1" applyFill="1" applyBorder="1" applyAlignment="1">
      <alignment horizontal="center"/>
      <protection/>
    </xf>
    <xf numFmtId="164" fontId="3" fillId="0" borderId="0" xfId="33" applyNumberFormat="1" applyFont="1" applyFill="1" applyBorder="1">
      <alignment/>
      <protection/>
    </xf>
    <xf numFmtId="0" fontId="3" fillId="0" borderId="29" xfId="0" applyFont="1" applyFill="1" applyBorder="1" applyAlignment="1">
      <alignment horizontal="right"/>
    </xf>
    <xf numFmtId="0" fontId="3" fillId="0" borderId="30" xfId="33" applyFont="1" applyFill="1" applyBorder="1">
      <alignment/>
      <protection/>
    </xf>
    <xf numFmtId="0" fontId="1" fillId="0" borderId="38" xfId="33" applyFont="1" applyFill="1" applyBorder="1">
      <alignment/>
      <protection/>
    </xf>
    <xf numFmtId="164" fontId="3" fillId="0" borderId="16" xfId="33" applyNumberFormat="1" applyFill="1" applyBorder="1">
      <alignment/>
      <protection/>
    </xf>
    <xf numFmtId="0" fontId="3" fillId="0" borderId="16" xfId="33" applyFill="1" applyBorder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1" fillId="0" borderId="45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>
      <alignment horizontal="right"/>
    </xf>
    <xf numFmtId="0" fontId="3" fillId="0" borderId="31" xfId="33" applyFont="1" applyBorder="1">
      <alignment/>
      <protection/>
    </xf>
    <xf numFmtId="0" fontId="3" fillId="0" borderId="32" xfId="33" applyFont="1" applyBorder="1">
      <alignment/>
      <protection/>
    </xf>
    <xf numFmtId="0" fontId="3" fillId="0" borderId="28" xfId="33" applyFill="1" applyBorder="1">
      <alignment/>
      <protection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37" xfId="0" applyFont="1" applyBorder="1" applyAlignment="1">
      <alignment/>
    </xf>
    <xf numFmtId="1" fontId="1" fillId="0" borderId="30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3" fillId="0" borderId="58" xfId="0" applyFont="1" applyBorder="1" applyAlignment="1">
      <alignment/>
    </xf>
    <xf numFmtId="164" fontId="0" fillId="0" borderId="33" xfId="0" applyNumberFormat="1" applyBorder="1" applyAlignment="1">
      <alignment horizontal="center"/>
    </xf>
    <xf numFmtId="167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164" fontId="0" fillId="0" borderId="35" xfId="0" applyNumberFormat="1" applyBorder="1" applyAlignment="1">
      <alignment horizontal="center"/>
    </xf>
    <xf numFmtId="1" fontId="0" fillId="0" borderId="35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57" xfId="0" applyBorder="1" applyAlignment="1">
      <alignment horizontal="right"/>
    </xf>
    <xf numFmtId="0" fontId="1" fillId="0" borderId="37" xfId="33" applyFont="1" applyFill="1" applyBorder="1">
      <alignment/>
      <protection/>
    </xf>
    <xf numFmtId="0" fontId="1" fillId="0" borderId="38" xfId="33" applyFont="1" applyFill="1" applyBorder="1" applyAlignment="1">
      <alignment horizontal="center"/>
      <protection/>
    </xf>
    <xf numFmtId="164" fontId="3" fillId="0" borderId="38" xfId="33" applyNumberFormat="1" applyFill="1" applyBorder="1">
      <alignment/>
      <protection/>
    </xf>
    <xf numFmtId="0" fontId="3" fillId="0" borderId="38" xfId="33" applyFill="1" applyBorder="1">
      <alignment/>
      <protection/>
    </xf>
    <xf numFmtId="2" fontId="3" fillId="0" borderId="38" xfId="33" applyNumberFormat="1" applyFill="1" applyBorder="1" applyAlignment="1">
      <alignment horizontal="right"/>
      <protection/>
    </xf>
    <xf numFmtId="0" fontId="8" fillId="0" borderId="38" xfId="0" applyFont="1" applyFill="1" applyBorder="1" applyAlignment="1">
      <alignment/>
    </xf>
    <xf numFmtId="0" fontId="1" fillId="0" borderId="16" xfId="33" applyFont="1" applyFill="1" applyBorder="1">
      <alignment/>
      <protection/>
    </xf>
    <xf numFmtId="0" fontId="6" fillId="0" borderId="18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3" fillId="0" borderId="62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0" fillId="0" borderId="62" xfId="0" applyBorder="1" applyAlignment="1">
      <alignment/>
    </xf>
    <xf numFmtId="2" fontId="0" fillId="0" borderId="62" xfId="0" applyNumberFormat="1" applyBorder="1" applyAlignment="1">
      <alignment horizontal="right"/>
    </xf>
    <xf numFmtId="0" fontId="0" fillId="0" borderId="62" xfId="0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0" fillId="0" borderId="64" xfId="0" applyNumberFormat="1" applyBorder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2" fontId="1" fillId="0" borderId="45" xfId="0" applyNumberFormat="1" applyFont="1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65" xfId="0" applyBorder="1" applyAlignment="1">
      <alignment horizontal="center"/>
    </xf>
    <xf numFmtId="10" fontId="1" fillId="33" borderId="66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10" fontId="0" fillId="0" borderId="66" xfId="0" applyNumberFormat="1" applyBorder="1" applyAlignment="1">
      <alignment/>
    </xf>
    <xf numFmtId="0" fontId="0" fillId="0" borderId="14" xfId="0" applyBorder="1" applyAlignment="1">
      <alignment horizontal="center"/>
    </xf>
    <xf numFmtId="0" fontId="6" fillId="34" borderId="66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0" fontId="1" fillId="33" borderId="66" xfId="0" applyFont="1" applyFill="1" applyBorder="1" applyAlignment="1">
      <alignment/>
    </xf>
    <xf numFmtId="9" fontId="1" fillId="33" borderId="13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7" xfId="33" applyFont="1" applyBorder="1">
      <alignment/>
      <protection/>
    </xf>
    <xf numFmtId="0" fontId="3" fillId="0" borderId="13" xfId="33" applyFont="1" applyBorder="1">
      <alignment/>
      <protection/>
    </xf>
    <xf numFmtId="0" fontId="3" fillId="0" borderId="13" xfId="33" applyBorder="1">
      <alignment/>
      <protection/>
    </xf>
    <xf numFmtId="0" fontId="3" fillId="0" borderId="54" xfId="33" applyBorder="1" applyAlignment="1">
      <alignment horizontal="center"/>
      <protection/>
    </xf>
    <xf numFmtId="164" fontId="3" fillId="0" borderId="11" xfId="33" applyNumberFormat="1" applyBorder="1">
      <alignment/>
      <protection/>
    </xf>
    <xf numFmtId="0" fontId="3" fillId="0" borderId="11" xfId="33" applyBorder="1">
      <alignment/>
      <protection/>
    </xf>
    <xf numFmtId="0" fontId="3" fillId="0" borderId="11" xfId="33" applyBorder="1" applyAlignment="1">
      <alignment horizontal="right"/>
      <protection/>
    </xf>
    <xf numFmtId="0" fontId="3" fillId="0" borderId="67" xfId="33" applyBorder="1" applyAlignment="1">
      <alignment horizontal="right"/>
      <protection/>
    </xf>
    <xf numFmtId="0" fontId="3" fillId="0" borderId="68" xfId="33" applyFont="1" applyBorder="1">
      <alignment/>
      <protection/>
    </xf>
    <xf numFmtId="0" fontId="3" fillId="0" borderId="69" xfId="33" applyFont="1" applyBorder="1">
      <alignment/>
      <protection/>
    </xf>
    <xf numFmtId="0" fontId="3" fillId="0" borderId="69" xfId="33" applyBorder="1">
      <alignment/>
      <protection/>
    </xf>
    <xf numFmtId="0" fontId="3" fillId="0" borderId="70" xfId="33" applyBorder="1" applyAlignment="1">
      <alignment horizontal="center"/>
      <protection/>
    </xf>
    <xf numFmtId="164" fontId="3" fillId="0" borderId="62" xfId="33" applyNumberFormat="1" applyBorder="1">
      <alignment/>
      <protection/>
    </xf>
    <xf numFmtId="0" fontId="3" fillId="0" borderId="62" xfId="33" applyBorder="1">
      <alignment/>
      <protection/>
    </xf>
    <xf numFmtId="2" fontId="3" fillId="0" borderId="62" xfId="33" applyNumberFormat="1" applyBorder="1" applyAlignment="1">
      <alignment horizontal="right"/>
      <protection/>
    </xf>
    <xf numFmtId="2" fontId="3" fillId="0" borderId="71" xfId="33" applyNumberFormat="1" applyFont="1" applyBorder="1" applyAlignment="1">
      <alignment horizontal="right"/>
      <protection/>
    </xf>
    <xf numFmtId="0" fontId="1" fillId="0" borderId="30" xfId="0" applyFont="1" applyBorder="1" applyAlignment="1">
      <alignment/>
    </xf>
    <xf numFmtId="2" fontId="0" fillId="0" borderId="2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1" fillId="0" borderId="30" xfId="0" applyNumberFormat="1" applyFont="1" applyBorder="1" applyAlignment="1">
      <alignment horizontal="center"/>
    </xf>
    <xf numFmtId="0" fontId="3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33" xfId="0" applyBorder="1" applyAlignment="1">
      <alignment horizontal="center"/>
    </xf>
    <xf numFmtId="164" fontId="0" fillId="0" borderId="33" xfId="0" applyNumberForma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10" fontId="6" fillId="0" borderId="0" xfId="0" applyNumberFormat="1" applyFont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4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35" xfId="0" applyFill="1" applyBorder="1" applyAlignment="1">
      <alignment horizontal="center"/>
    </xf>
    <xf numFmtId="164" fontId="0" fillId="0" borderId="35" xfId="0" applyNumberFormat="1" applyFill="1" applyBorder="1" applyAlignment="1">
      <alignment/>
    </xf>
    <xf numFmtId="0" fontId="0" fillId="0" borderId="35" xfId="0" applyFill="1" applyBorder="1" applyAlignment="1">
      <alignment/>
    </xf>
    <xf numFmtId="2" fontId="0" fillId="0" borderId="35" xfId="0" applyNumberForma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57" xfId="0" applyFill="1" applyBorder="1" applyAlignment="1">
      <alignment horizontal="right"/>
    </xf>
    <xf numFmtId="10" fontId="6" fillId="0" borderId="46" xfId="0" applyNumberFormat="1" applyFont="1" applyBorder="1" applyAlignment="1">
      <alignment horizontal="center"/>
    </xf>
    <xf numFmtId="10" fontId="0" fillId="33" borderId="41" xfId="0" applyNumberFormat="1" applyFill="1" applyBorder="1" applyAlignment="1">
      <alignment/>
    </xf>
    <xf numFmtId="0" fontId="0" fillId="33" borderId="42" xfId="0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9" fontId="0" fillId="0" borderId="48" xfId="0" applyNumberFormat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30" xfId="33" applyFont="1" applyBorder="1" applyAlignment="1">
      <alignment horizontal="right"/>
      <protection/>
    </xf>
    <xf numFmtId="0" fontId="3" fillId="0" borderId="15" xfId="33" applyBorder="1" applyAlignment="1">
      <alignment horizontal="center"/>
      <protection/>
    </xf>
    <xf numFmtId="0" fontId="3" fillId="0" borderId="16" xfId="33" applyBorder="1" applyAlignment="1">
      <alignment horizontal="center"/>
      <protection/>
    </xf>
    <xf numFmtId="0" fontId="3" fillId="0" borderId="32" xfId="33" applyBorder="1">
      <alignment/>
      <protection/>
    </xf>
    <xf numFmtId="0" fontId="1" fillId="0" borderId="72" xfId="33" applyFont="1" applyBorder="1" applyAlignment="1">
      <alignment horizontal="right"/>
      <protection/>
    </xf>
    <xf numFmtId="0" fontId="0" fillId="0" borderId="52" xfId="0" applyBorder="1" applyAlignment="1">
      <alignment horizontal="right"/>
    </xf>
    <xf numFmtId="0" fontId="0" fillId="0" borderId="60" xfId="0" applyBorder="1" applyAlignment="1">
      <alignment horizontal="right"/>
    </xf>
    <xf numFmtId="0" fontId="1" fillId="0" borderId="54" xfId="33" applyFont="1" applyBorder="1">
      <alignment/>
      <protection/>
    </xf>
    <xf numFmtId="164" fontId="3" fillId="0" borderId="11" xfId="33" applyNumberFormat="1" applyBorder="1" applyAlignment="1">
      <alignment horizontal="right"/>
      <protection/>
    </xf>
    <xf numFmtId="0" fontId="3" fillId="0" borderId="45" xfId="33" applyBorder="1">
      <alignment/>
      <protection/>
    </xf>
    <xf numFmtId="0" fontId="1" fillId="0" borderId="53" xfId="33" applyFont="1" applyBorder="1">
      <alignment/>
      <protection/>
    </xf>
    <xf numFmtId="2" fontId="3" fillId="0" borderId="12" xfId="33" applyNumberFormat="1" applyFont="1" applyBorder="1" applyAlignment="1">
      <alignment horizontal="right"/>
      <protection/>
    </xf>
    <xf numFmtId="0" fontId="3" fillId="0" borderId="47" xfId="33" applyFont="1" applyBorder="1">
      <alignment/>
      <protection/>
    </xf>
    <xf numFmtId="0" fontId="3" fillId="0" borderId="28" xfId="33" applyFont="1" applyBorder="1">
      <alignment/>
      <protection/>
    </xf>
    <xf numFmtId="0" fontId="3" fillId="0" borderId="73" xfId="33" applyFont="1" applyFill="1" applyBorder="1">
      <alignment/>
      <protection/>
    </xf>
    <xf numFmtId="0" fontId="3" fillId="0" borderId="28" xfId="33" applyBorder="1">
      <alignment/>
      <protection/>
    </xf>
    <xf numFmtId="165" fontId="3" fillId="0" borderId="28" xfId="33" applyNumberFormat="1" applyFill="1" applyBorder="1">
      <alignment/>
      <protection/>
    </xf>
    <xf numFmtId="2" fontId="3" fillId="0" borderId="28" xfId="33" applyNumberFormat="1" applyFill="1" applyBorder="1" applyAlignment="1">
      <alignment horizontal="right"/>
      <protection/>
    </xf>
    <xf numFmtId="0" fontId="3" fillId="0" borderId="31" xfId="33" applyFont="1" applyBorder="1" applyAlignment="1">
      <alignment horizontal="left"/>
      <protection/>
    </xf>
    <xf numFmtId="0" fontId="3" fillId="0" borderId="32" xfId="33" applyFont="1" applyBorder="1" applyAlignment="1">
      <alignment horizontal="left"/>
      <protection/>
    </xf>
    <xf numFmtId="164" fontId="3" fillId="0" borderId="12" xfId="33" applyNumberFormat="1" applyFont="1" applyBorder="1">
      <alignment/>
      <protection/>
    </xf>
    <xf numFmtId="0" fontId="3" fillId="0" borderId="12" xfId="33" applyFont="1" applyBorder="1">
      <alignment/>
      <protection/>
    </xf>
    <xf numFmtId="0" fontId="3" fillId="0" borderId="28" xfId="33" applyFont="1" applyFill="1" applyBorder="1" applyAlignment="1">
      <alignment horizontal="right"/>
      <protection/>
    </xf>
    <xf numFmtId="0" fontId="0" fillId="0" borderId="16" xfId="0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0" fontId="1" fillId="0" borderId="72" xfId="33" applyFont="1" applyBorder="1" applyAlignment="1">
      <alignment horizontal="center"/>
      <protection/>
    </xf>
    <xf numFmtId="0" fontId="3" fillId="0" borderId="27" xfId="0" applyFont="1" applyBorder="1" applyAlignment="1">
      <alignment horizontal="left"/>
    </xf>
    <xf numFmtId="0" fontId="3" fillId="0" borderId="28" xfId="33" applyFont="1" applyBorder="1" applyAlignment="1">
      <alignment horizontal="center"/>
      <protection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3" fillId="0" borderId="54" xfId="33" applyFont="1" applyBorder="1" applyAlignment="1">
      <alignment horizontal="center"/>
      <protection/>
    </xf>
    <xf numFmtId="0" fontId="1" fillId="0" borderId="28" xfId="0" applyFon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3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4" xfId="0" applyBorder="1" applyAlignment="1">
      <alignment/>
    </xf>
    <xf numFmtId="16" fontId="0" fillId="0" borderId="70" xfId="0" applyNumberFormat="1" applyBorder="1" applyAlignment="1">
      <alignment horizontal="center"/>
    </xf>
    <xf numFmtId="164" fontId="3" fillId="0" borderId="35" xfId="33" applyNumberFormat="1" applyBorder="1">
      <alignment/>
      <protection/>
    </xf>
    <xf numFmtId="1" fontId="3" fillId="0" borderId="35" xfId="33" applyNumberFormat="1" applyBorder="1">
      <alignment/>
      <protection/>
    </xf>
    <xf numFmtId="2" fontId="3" fillId="0" borderId="71" xfId="33" applyNumberFormat="1" applyFill="1" applyBorder="1" applyAlignment="1">
      <alignment horizontal="right"/>
      <protection/>
    </xf>
    <xf numFmtId="0" fontId="3" fillId="0" borderId="35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0" fillId="0" borderId="67" xfId="0" applyFill="1" applyBorder="1" applyAlignment="1">
      <alignment horizontal="right"/>
    </xf>
    <xf numFmtId="164" fontId="3" fillId="0" borderId="12" xfId="33" applyNumberFormat="1" applyBorder="1">
      <alignment/>
      <protection/>
    </xf>
    <xf numFmtId="0" fontId="3" fillId="0" borderId="12" xfId="33" applyBorder="1">
      <alignment/>
      <protection/>
    </xf>
    <xf numFmtId="2" fontId="3" fillId="0" borderId="12" xfId="33" applyNumberFormat="1" applyBorder="1" applyAlignment="1">
      <alignment horizontal="right"/>
      <protection/>
    </xf>
    <xf numFmtId="164" fontId="0" fillId="0" borderId="75" xfId="0" applyNumberFormat="1" applyBorder="1" applyAlignment="1">
      <alignment/>
    </xf>
    <xf numFmtId="0" fontId="0" fillId="0" borderId="75" xfId="0" applyBorder="1" applyAlignment="1">
      <alignment/>
    </xf>
    <xf numFmtId="0" fontId="3" fillId="0" borderId="44" xfId="33" applyFont="1" applyFill="1" applyBorder="1">
      <alignment/>
      <protection/>
    </xf>
    <xf numFmtId="0" fontId="3" fillId="0" borderId="45" xfId="33" applyFont="1" applyFill="1" applyBorder="1">
      <alignment/>
      <protection/>
    </xf>
    <xf numFmtId="0" fontId="3" fillId="0" borderId="65" xfId="33" applyFont="1" applyFill="1" applyBorder="1">
      <alignment/>
      <protection/>
    </xf>
    <xf numFmtId="0" fontId="3" fillId="0" borderId="12" xfId="33" applyFont="1" applyFill="1" applyBorder="1" applyAlignment="1">
      <alignment horizontal="center"/>
      <protection/>
    </xf>
    <xf numFmtId="0" fontId="3" fillId="0" borderId="76" xfId="33" applyFont="1" applyBorder="1">
      <alignment/>
      <protection/>
    </xf>
    <xf numFmtId="0" fontId="3" fillId="0" borderId="25" xfId="33" applyFont="1" applyBorder="1" applyAlignment="1">
      <alignment horizontal="center"/>
      <protection/>
    </xf>
    <xf numFmtId="164" fontId="3" fillId="0" borderId="25" xfId="33" applyNumberFormat="1" applyBorder="1">
      <alignment/>
      <protection/>
    </xf>
    <xf numFmtId="0" fontId="3" fillId="0" borderId="25" xfId="33" applyBorder="1">
      <alignment/>
      <protection/>
    </xf>
    <xf numFmtId="2" fontId="3" fillId="0" borderId="25" xfId="33" applyNumberFormat="1" applyBorder="1" applyAlignment="1">
      <alignment horizontal="right"/>
      <protection/>
    </xf>
    <xf numFmtId="0" fontId="1" fillId="0" borderId="40" xfId="0" applyFont="1" applyBorder="1" applyAlignment="1">
      <alignment horizontal="right"/>
    </xf>
    <xf numFmtId="0" fontId="6" fillId="0" borderId="46" xfId="0" applyFont="1" applyBorder="1" applyAlignment="1">
      <alignment horizontal="center"/>
    </xf>
    <xf numFmtId="10" fontId="6" fillId="33" borderId="68" xfId="0" applyNumberFormat="1" applyFont="1" applyFill="1" applyBorder="1" applyAlignment="1">
      <alignment/>
    </xf>
    <xf numFmtId="0" fontId="6" fillId="33" borderId="69" xfId="0" applyFont="1" applyFill="1" applyBorder="1" applyAlignment="1">
      <alignment/>
    </xf>
    <xf numFmtId="0" fontId="6" fillId="33" borderId="69" xfId="0" applyFont="1" applyFill="1" applyBorder="1" applyAlignment="1">
      <alignment horizontal="center"/>
    </xf>
    <xf numFmtId="2" fontId="6" fillId="33" borderId="69" xfId="0" applyNumberFormat="1" applyFont="1" applyFill="1" applyBorder="1" applyAlignment="1">
      <alignment horizontal="right"/>
    </xf>
    <xf numFmtId="0" fontId="6" fillId="33" borderId="77" xfId="0" applyFont="1" applyFill="1" applyBorder="1" applyAlignment="1">
      <alignment/>
    </xf>
    <xf numFmtId="10" fontId="0" fillId="0" borderId="0" xfId="0" applyNumberFormat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1" fillId="0" borderId="37" xfId="33" applyFont="1" applyBorder="1" applyAlignment="1">
      <alignment horizontal="center"/>
      <protection/>
    </xf>
    <xf numFmtId="0" fontId="3" fillId="0" borderId="58" xfId="33" applyFont="1" applyBorder="1">
      <alignment/>
      <protection/>
    </xf>
    <xf numFmtId="0" fontId="3" fillId="0" borderId="59" xfId="33" applyFont="1" applyBorder="1">
      <alignment/>
      <protection/>
    </xf>
    <xf numFmtId="0" fontId="3" fillId="0" borderId="33" xfId="33" applyFont="1" applyBorder="1" applyAlignment="1">
      <alignment horizontal="center"/>
      <protection/>
    </xf>
    <xf numFmtId="0" fontId="0" fillId="0" borderId="11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64" fontId="3" fillId="0" borderId="28" xfId="33" applyNumberFormat="1" applyBorder="1">
      <alignment/>
      <protection/>
    </xf>
    <xf numFmtId="164" fontId="3" fillId="0" borderId="0" xfId="33" applyNumberFormat="1" applyBorder="1">
      <alignment/>
      <protection/>
    </xf>
    <xf numFmtId="1" fontId="3" fillId="0" borderId="28" xfId="33" applyNumberFormat="1" applyBorder="1">
      <alignment/>
      <protection/>
    </xf>
    <xf numFmtId="1" fontId="3" fillId="0" borderId="0" xfId="33" applyNumberFormat="1" applyBorder="1">
      <alignment/>
      <protection/>
    </xf>
    <xf numFmtId="0" fontId="3" fillId="0" borderId="55" xfId="33" applyFont="1" applyBorder="1">
      <alignment/>
      <protection/>
    </xf>
    <xf numFmtId="0" fontId="3" fillId="0" borderId="56" xfId="33" applyFont="1" applyBorder="1">
      <alignment/>
      <protection/>
    </xf>
    <xf numFmtId="0" fontId="3" fillId="0" borderId="35" xfId="33" applyFont="1" applyBorder="1" applyAlignment="1">
      <alignment horizontal="center"/>
      <protection/>
    </xf>
    <xf numFmtId="168" fontId="0" fillId="0" borderId="35" xfId="0" applyNumberFormat="1" applyBorder="1" applyAlignment="1">
      <alignment/>
    </xf>
    <xf numFmtId="0" fontId="3" fillId="0" borderId="35" xfId="33" applyBorder="1" applyAlignment="1">
      <alignment horizontal="right"/>
      <protection/>
    </xf>
    <xf numFmtId="0" fontId="3" fillId="0" borderId="57" xfId="33" applyFont="1" applyBorder="1" applyAlignment="1">
      <alignment horizontal="right"/>
      <protection/>
    </xf>
    <xf numFmtId="0" fontId="1" fillId="0" borderId="30" xfId="33" applyFont="1" applyFill="1" applyBorder="1">
      <alignment/>
      <protection/>
    </xf>
    <xf numFmtId="0" fontId="1" fillId="0" borderId="15" xfId="33" applyFont="1" applyFill="1" applyBorder="1">
      <alignment/>
      <protection/>
    </xf>
    <xf numFmtId="0" fontId="1" fillId="0" borderId="16" xfId="33" applyFont="1" applyFill="1" applyBorder="1" applyAlignment="1">
      <alignment horizontal="center"/>
      <protection/>
    </xf>
    <xf numFmtId="164" fontId="1" fillId="0" borderId="16" xfId="33" applyNumberFormat="1" applyFont="1" applyFill="1" applyBorder="1" applyAlignment="1">
      <alignment horizontal="center"/>
      <protection/>
    </xf>
    <xf numFmtId="2" fontId="1" fillId="0" borderId="16" xfId="33" applyNumberFormat="1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78" xfId="0" applyFill="1" applyBorder="1" applyAlignment="1">
      <alignment horizontal="center"/>
    </xf>
    <xf numFmtId="164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2" fontId="0" fillId="0" borderId="25" xfId="0" applyNumberForma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165" fontId="0" fillId="0" borderId="28" xfId="0" applyNumberFormat="1" applyFill="1" applyBorder="1" applyAlignment="1">
      <alignment/>
    </xf>
    <xf numFmtId="0" fontId="3" fillId="0" borderId="73" xfId="0" applyFont="1" applyFill="1" applyBorder="1" applyAlignment="1">
      <alignment/>
    </xf>
    <xf numFmtId="168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 horizontal="center"/>
    </xf>
    <xf numFmtId="0" fontId="6" fillId="33" borderId="81" xfId="0" applyFont="1" applyFill="1" applyBorder="1" applyAlignment="1">
      <alignment/>
    </xf>
    <xf numFmtId="0" fontId="6" fillId="33" borderId="8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83" xfId="0" applyFont="1" applyFill="1" applyBorder="1" applyAlignment="1">
      <alignment horizontal="center"/>
    </xf>
    <xf numFmtId="0" fontId="6" fillId="33" borderId="84" xfId="0" applyFont="1" applyFill="1" applyBorder="1" applyAlignment="1">
      <alignment/>
    </xf>
    <xf numFmtId="2" fontId="6" fillId="33" borderId="84" xfId="0" applyNumberFormat="1" applyFont="1" applyFill="1" applyBorder="1" applyAlignment="1">
      <alignment horizontal="right"/>
    </xf>
    <xf numFmtId="9" fontId="0" fillId="0" borderId="65" xfId="0" applyNumberFormat="1" applyBorder="1" applyAlignment="1">
      <alignment horizontal="center"/>
    </xf>
    <xf numFmtId="0" fontId="6" fillId="34" borderId="28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2" fontId="6" fillId="34" borderId="28" xfId="0" applyNumberFormat="1" applyFont="1" applyFill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10" fontId="3" fillId="0" borderId="13" xfId="0" applyNumberFormat="1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0" fontId="1" fillId="33" borderId="28" xfId="0" applyFont="1" applyFill="1" applyBorder="1" applyAlignment="1">
      <alignment/>
    </xf>
    <xf numFmtId="9" fontId="1" fillId="33" borderId="28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right"/>
    </xf>
    <xf numFmtId="0" fontId="1" fillId="33" borderId="28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/>
    </xf>
    <xf numFmtId="0" fontId="3" fillId="0" borderId="0" xfId="33">
      <alignment/>
      <protection/>
    </xf>
    <xf numFmtId="0" fontId="1" fillId="0" borderId="0" xfId="33" applyFont="1" applyAlignment="1">
      <alignment horizontal="center"/>
      <protection/>
    </xf>
    <xf numFmtId="2" fontId="3" fillId="0" borderId="0" xfId="33" applyNumberFormat="1" applyAlignment="1">
      <alignment horizontal="right"/>
      <protection/>
    </xf>
    <xf numFmtId="0" fontId="3" fillId="0" borderId="0" xfId="33" applyAlignment="1">
      <alignment horizontal="right"/>
      <protection/>
    </xf>
    <xf numFmtId="0" fontId="1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/>
      <protection/>
    </xf>
    <xf numFmtId="2" fontId="1" fillId="0" borderId="11" xfId="33" applyNumberFormat="1" applyFont="1" applyBorder="1" applyAlignment="1">
      <alignment horizontal="center"/>
      <protection/>
    </xf>
    <xf numFmtId="2" fontId="1" fillId="0" borderId="11" xfId="33" applyNumberFormat="1" applyFont="1" applyBorder="1" applyAlignment="1">
      <alignment horizontal="center" wrapText="1"/>
      <protection/>
    </xf>
    <xf numFmtId="0" fontId="1" fillId="0" borderId="11" xfId="33" applyFont="1" applyBorder="1" applyAlignment="1">
      <alignment horizontal="right"/>
      <protection/>
    </xf>
    <xf numFmtId="0" fontId="1" fillId="0" borderId="11" xfId="33" applyFont="1" applyBorder="1" applyAlignment="1">
      <alignment horizontal="right" wrapText="1"/>
      <protection/>
    </xf>
    <xf numFmtId="0" fontId="1" fillId="0" borderId="12" xfId="33" applyFont="1" applyBorder="1" applyAlignment="1">
      <alignment horizontal="center"/>
      <protection/>
    </xf>
    <xf numFmtId="0" fontId="1" fillId="0" borderId="13" xfId="33" applyFont="1" applyBorder="1" applyAlignment="1">
      <alignment horizontal="center"/>
      <protection/>
    </xf>
    <xf numFmtId="2" fontId="1" fillId="0" borderId="13" xfId="33" applyNumberFormat="1" applyFont="1" applyBorder="1" applyAlignment="1">
      <alignment horizontal="right"/>
      <protection/>
    </xf>
    <xf numFmtId="0" fontId="1" fillId="0" borderId="13" xfId="33" applyFont="1" applyBorder="1" applyAlignment="1">
      <alignment horizontal="right"/>
      <protection/>
    </xf>
    <xf numFmtId="0" fontId="1" fillId="0" borderId="14" xfId="33" applyFont="1" applyBorder="1" applyAlignment="1">
      <alignment horizontal="right"/>
      <protection/>
    </xf>
    <xf numFmtId="166" fontId="1" fillId="0" borderId="0" xfId="33" applyNumberFormat="1" applyFont="1" applyBorder="1">
      <alignment/>
      <protection/>
    </xf>
    <xf numFmtId="0" fontId="1" fillId="0" borderId="0" xfId="33" applyFont="1" applyBorder="1">
      <alignment/>
      <protection/>
    </xf>
    <xf numFmtId="0" fontId="3" fillId="0" borderId="82" xfId="33" applyFill="1" applyBorder="1" applyAlignment="1">
      <alignment horizontal="right"/>
      <protection/>
    </xf>
    <xf numFmtId="0" fontId="3" fillId="0" borderId="85" xfId="33" applyFill="1" applyBorder="1" applyAlignment="1">
      <alignment horizontal="right"/>
      <protection/>
    </xf>
    <xf numFmtId="0" fontId="1" fillId="0" borderId="30" xfId="33" applyFont="1" applyBorder="1" applyAlignment="1">
      <alignment horizontal="center"/>
      <protection/>
    </xf>
    <xf numFmtId="0" fontId="3" fillId="0" borderId="19" xfId="33" applyBorder="1" applyAlignment="1">
      <alignment horizontal="center"/>
      <protection/>
    </xf>
    <xf numFmtId="165" fontId="3" fillId="0" borderId="20" xfId="33" applyNumberFormat="1" applyBorder="1">
      <alignment/>
      <protection/>
    </xf>
    <xf numFmtId="0" fontId="3" fillId="0" borderId="35" xfId="33" applyBorder="1">
      <alignment/>
      <protection/>
    </xf>
    <xf numFmtId="2" fontId="3" fillId="0" borderId="35" xfId="33" applyNumberFormat="1" applyBorder="1" applyAlignment="1">
      <alignment horizontal="right"/>
      <protection/>
    </xf>
    <xf numFmtId="2" fontId="3" fillId="0" borderId="71" xfId="33" applyNumberFormat="1" applyBorder="1" applyAlignment="1">
      <alignment horizontal="right"/>
      <protection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4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164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6" fillId="0" borderId="18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 horizontal="center"/>
      <protection/>
    </xf>
    <xf numFmtId="9" fontId="6" fillId="0" borderId="0" xfId="33" applyNumberFormat="1" applyFont="1" applyBorder="1" applyAlignment="1">
      <alignment horizontal="center"/>
      <protection/>
    </xf>
    <xf numFmtId="2" fontId="6" fillId="0" borderId="0" xfId="33" applyNumberFormat="1" applyFont="1" applyBorder="1" applyAlignment="1">
      <alignment horizontal="right"/>
      <protection/>
    </xf>
    <xf numFmtId="0" fontId="6" fillId="0" borderId="0" xfId="33" applyFont="1" applyBorder="1" applyAlignment="1">
      <alignment horizontal="right"/>
      <protection/>
    </xf>
    <xf numFmtId="10" fontId="6" fillId="0" borderId="0" xfId="33" applyNumberFormat="1" applyFont="1" applyBorder="1" applyAlignment="1">
      <alignment horizontal="right"/>
      <protection/>
    </xf>
    <xf numFmtId="0" fontId="6" fillId="0" borderId="40" xfId="33" applyFont="1" applyBorder="1" applyAlignment="1">
      <alignment horizontal="right"/>
      <protection/>
    </xf>
    <xf numFmtId="0" fontId="1" fillId="33" borderId="41" xfId="33" applyFont="1" applyFill="1" applyBorder="1" applyAlignment="1">
      <alignment horizontal="left"/>
      <protection/>
    </xf>
    <xf numFmtId="0" fontId="3" fillId="33" borderId="42" xfId="33" applyFont="1" applyFill="1" applyBorder="1">
      <alignment/>
      <protection/>
    </xf>
    <xf numFmtId="0" fontId="1" fillId="33" borderId="42" xfId="33" applyFont="1" applyFill="1" applyBorder="1" applyAlignment="1">
      <alignment horizontal="left"/>
      <protection/>
    </xf>
    <xf numFmtId="0" fontId="1" fillId="33" borderId="42" xfId="33" applyFont="1" applyFill="1" applyBorder="1" applyAlignment="1">
      <alignment horizontal="center"/>
      <protection/>
    </xf>
    <xf numFmtId="9" fontId="1" fillId="33" borderId="42" xfId="33" applyNumberFormat="1" applyFont="1" applyFill="1" applyBorder="1" applyAlignment="1">
      <alignment horizontal="center"/>
      <protection/>
    </xf>
    <xf numFmtId="2" fontId="1" fillId="33" borderId="42" xfId="33" applyNumberFormat="1" applyFont="1" applyFill="1" applyBorder="1" applyAlignment="1">
      <alignment horizontal="right"/>
      <protection/>
    </xf>
    <xf numFmtId="0" fontId="1" fillId="33" borderId="43" xfId="33" applyFont="1" applyFill="1" applyBorder="1" applyAlignment="1">
      <alignment horizontal="right"/>
      <protection/>
    </xf>
    <xf numFmtId="9" fontId="1" fillId="0" borderId="0" xfId="33" applyNumberFormat="1" applyFont="1" applyBorder="1" applyAlignment="1">
      <alignment horizontal="center"/>
      <protection/>
    </xf>
    <xf numFmtId="10" fontId="1" fillId="0" borderId="0" xfId="33" applyNumberFormat="1" applyFont="1" applyBorder="1" applyAlignment="1">
      <alignment horizontal="right"/>
      <protection/>
    </xf>
    <xf numFmtId="49" fontId="1" fillId="0" borderId="0" xfId="33" applyNumberFormat="1" applyFont="1" applyBorder="1" applyAlignment="1">
      <alignment horizontal="right"/>
      <protection/>
    </xf>
    <xf numFmtId="0" fontId="6" fillId="0" borderId="44" xfId="33" applyFont="1" applyBorder="1">
      <alignment/>
      <protection/>
    </xf>
    <xf numFmtId="0" fontId="7" fillId="0" borderId="45" xfId="33" applyFont="1" applyBorder="1">
      <alignment/>
      <protection/>
    </xf>
    <xf numFmtId="10" fontId="7" fillId="0" borderId="45" xfId="33" applyNumberFormat="1" applyFont="1" applyBorder="1">
      <alignment/>
      <protection/>
    </xf>
    <xf numFmtId="0" fontId="7" fillId="0" borderId="45" xfId="33" applyFont="1" applyBorder="1" applyAlignment="1">
      <alignment horizontal="center"/>
      <protection/>
    </xf>
    <xf numFmtId="2" fontId="7" fillId="0" borderId="45" xfId="33" applyNumberFormat="1" applyFont="1" applyBorder="1" applyAlignment="1">
      <alignment horizontal="right"/>
      <protection/>
    </xf>
    <xf numFmtId="2" fontId="6" fillId="0" borderId="45" xfId="33" applyNumberFormat="1" applyFont="1" applyBorder="1" applyAlignment="1">
      <alignment horizontal="right"/>
      <protection/>
    </xf>
    <xf numFmtId="0" fontId="7" fillId="0" borderId="45" xfId="33" applyFont="1" applyBorder="1" applyAlignment="1">
      <alignment horizontal="right"/>
      <protection/>
    </xf>
    <xf numFmtId="9" fontId="6" fillId="0" borderId="46" xfId="33" applyNumberFormat="1" applyFont="1" applyBorder="1" applyAlignment="1">
      <alignment horizontal="right"/>
      <protection/>
    </xf>
    <xf numFmtId="10" fontId="1" fillId="33" borderId="41" xfId="33" applyNumberFormat="1" applyFont="1" applyFill="1" applyBorder="1">
      <alignment/>
      <protection/>
    </xf>
    <xf numFmtId="0" fontId="1" fillId="33" borderId="42" xfId="33" applyFont="1" applyFill="1" applyBorder="1">
      <alignment/>
      <protection/>
    </xf>
    <xf numFmtId="0" fontId="1" fillId="33" borderId="42" xfId="33" applyFont="1" applyFill="1" applyBorder="1" applyAlignment="1">
      <alignment horizontal="right"/>
      <protection/>
    </xf>
    <xf numFmtId="1" fontId="1" fillId="33" borderId="43" xfId="33" applyNumberFormat="1" applyFont="1" applyFill="1" applyBorder="1" applyAlignment="1">
      <alignment horizontal="right"/>
      <protection/>
    </xf>
    <xf numFmtId="0" fontId="1" fillId="0" borderId="86" xfId="33" applyFont="1" applyFill="1" applyBorder="1" applyAlignment="1">
      <alignment horizontal="right"/>
      <protection/>
    </xf>
    <xf numFmtId="166" fontId="1" fillId="0" borderId="86" xfId="33" applyNumberFormat="1" applyFont="1" applyFill="1" applyBorder="1">
      <alignment/>
      <protection/>
    </xf>
    <xf numFmtId="0" fontId="3" fillId="0" borderId="86" xfId="33" applyFill="1" applyBorder="1">
      <alignment/>
      <protection/>
    </xf>
    <xf numFmtId="0" fontId="3" fillId="0" borderId="86" xfId="33" applyFill="1" applyBorder="1" applyAlignment="1">
      <alignment horizontal="center"/>
      <protection/>
    </xf>
    <xf numFmtId="2" fontId="3" fillId="0" borderId="86" xfId="33" applyNumberFormat="1" applyFill="1" applyBorder="1" applyAlignment="1">
      <alignment horizontal="right"/>
      <protection/>
    </xf>
    <xf numFmtId="0" fontId="3" fillId="0" borderId="86" xfId="33" applyFill="1" applyBorder="1" applyAlignment="1">
      <alignment horizontal="right"/>
      <protection/>
    </xf>
    <xf numFmtId="9" fontId="3" fillId="0" borderId="87" xfId="33" applyNumberFormat="1" applyFill="1" applyBorder="1" applyAlignment="1">
      <alignment horizontal="right"/>
      <protection/>
    </xf>
    <xf numFmtId="0" fontId="3" fillId="0" borderId="15" xfId="33" applyFill="1" applyBorder="1" applyAlignment="1">
      <alignment horizontal="center"/>
      <protection/>
    </xf>
    <xf numFmtId="2" fontId="3" fillId="0" borderId="88" xfId="33" applyNumberFormat="1" applyFill="1" applyBorder="1" applyAlignment="1">
      <alignment horizontal="right"/>
      <protection/>
    </xf>
    <xf numFmtId="2" fontId="1" fillId="0" borderId="89" xfId="33" applyNumberFormat="1" applyFont="1" applyFill="1" applyBorder="1" applyAlignment="1">
      <alignment horizontal="right"/>
      <protection/>
    </xf>
    <xf numFmtId="0" fontId="1" fillId="0" borderId="48" xfId="33" applyFont="1" applyFill="1" applyBorder="1" applyAlignment="1">
      <alignment horizontal="right"/>
      <protection/>
    </xf>
    <xf numFmtId="0" fontId="3" fillId="0" borderId="90" xfId="33" applyFont="1" applyFill="1" applyBorder="1">
      <alignment/>
      <protection/>
    </xf>
    <xf numFmtId="0" fontId="3" fillId="0" borderId="91" xfId="33" applyFill="1" applyBorder="1">
      <alignment/>
      <protection/>
    </xf>
    <xf numFmtId="0" fontId="1" fillId="0" borderId="78" xfId="33" applyFont="1" applyFill="1" applyBorder="1" applyAlignment="1">
      <alignment horizontal="center"/>
      <protection/>
    </xf>
    <xf numFmtId="164" fontId="3" fillId="0" borderId="78" xfId="33" applyNumberFormat="1" applyFill="1" applyBorder="1" applyAlignment="1">
      <alignment horizontal="right"/>
      <protection/>
    </xf>
    <xf numFmtId="0" fontId="3" fillId="0" borderId="78" xfId="33" applyFill="1" applyBorder="1" applyAlignment="1">
      <alignment/>
      <protection/>
    </xf>
    <xf numFmtId="2" fontId="3" fillId="0" borderId="78" xfId="33" applyNumberFormat="1" applyFill="1" applyBorder="1" applyAlignment="1">
      <alignment horizontal="right"/>
      <protection/>
    </xf>
    <xf numFmtId="2" fontId="3" fillId="0" borderId="78" xfId="33" applyNumberFormat="1" applyFont="1" applyFill="1" applyBorder="1" applyAlignment="1">
      <alignment horizontal="right"/>
      <protection/>
    </xf>
    <xf numFmtId="0" fontId="3" fillId="0" borderId="18" xfId="33" applyFont="1" applyFill="1" applyBorder="1" applyAlignment="1">
      <alignment horizontal="left"/>
      <protection/>
    </xf>
    <xf numFmtId="0" fontId="3" fillId="0" borderId="0" xfId="33" applyFont="1" applyFill="1" applyBorder="1" applyAlignment="1">
      <alignment horizontal="left"/>
      <protection/>
    </xf>
    <xf numFmtId="164" fontId="3" fillId="0" borderId="28" xfId="33" applyNumberFormat="1" applyFont="1" applyFill="1" applyBorder="1">
      <alignment/>
      <protection/>
    </xf>
    <xf numFmtId="0" fontId="3" fillId="0" borderId="28" xfId="33" applyFont="1" applyFill="1" applyBorder="1">
      <alignment/>
      <protection/>
    </xf>
    <xf numFmtId="0" fontId="1" fillId="0" borderId="28" xfId="33" applyFont="1" applyFill="1" applyBorder="1" applyAlignment="1">
      <alignment horizontal="center"/>
      <protection/>
    </xf>
    <xf numFmtId="164" fontId="3" fillId="0" borderId="28" xfId="33" applyNumberFormat="1" applyFill="1" applyBorder="1" applyAlignment="1">
      <alignment horizontal="right"/>
      <protection/>
    </xf>
    <xf numFmtId="0" fontId="3" fillId="0" borderId="28" xfId="33" applyFill="1" applyBorder="1" applyAlignment="1">
      <alignment/>
      <protection/>
    </xf>
    <xf numFmtId="0" fontId="3" fillId="0" borderId="92" xfId="33" applyFont="1" applyFill="1" applyBorder="1">
      <alignment/>
      <protection/>
    </xf>
    <xf numFmtId="0" fontId="3" fillId="0" borderId="93" xfId="33" applyFill="1" applyBorder="1">
      <alignment/>
      <protection/>
    </xf>
    <xf numFmtId="0" fontId="1" fillId="0" borderId="72" xfId="33" applyFont="1" applyFill="1" applyBorder="1" applyAlignment="1">
      <alignment horizontal="center"/>
      <protection/>
    </xf>
    <xf numFmtId="164" fontId="3" fillId="0" borderId="72" xfId="33" applyNumberFormat="1" applyFill="1" applyBorder="1">
      <alignment/>
      <protection/>
    </xf>
    <xf numFmtId="0" fontId="3" fillId="0" borderId="72" xfId="33" applyFill="1" applyBorder="1">
      <alignment/>
      <protection/>
    </xf>
    <xf numFmtId="2" fontId="3" fillId="0" borderId="72" xfId="33" applyNumberFormat="1" applyFill="1" applyBorder="1" applyAlignment="1">
      <alignment horizontal="right"/>
      <protection/>
    </xf>
    <xf numFmtId="164" fontId="3" fillId="0" borderId="28" xfId="33" applyNumberFormat="1" applyFill="1" applyBorder="1">
      <alignment/>
      <protection/>
    </xf>
    <xf numFmtId="0" fontId="9" fillId="0" borderId="37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52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164" fontId="3" fillId="0" borderId="28" xfId="33" applyNumberFormat="1" applyBorder="1" applyAlignment="1">
      <alignment horizontal="center"/>
      <protection/>
    </xf>
    <xf numFmtId="2" fontId="3" fillId="0" borderId="28" xfId="33" applyNumberFormat="1" applyBorder="1">
      <alignment/>
      <protection/>
    </xf>
    <xf numFmtId="0" fontId="0" fillId="0" borderId="76" xfId="0" applyBorder="1" applyAlignment="1">
      <alignment/>
    </xf>
    <xf numFmtId="16" fontId="0" fillId="0" borderId="28" xfId="0" applyNumberFormat="1" applyBorder="1" applyAlignment="1">
      <alignment horizontal="center"/>
    </xf>
    <xf numFmtId="2" fontId="3" fillId="0" borderId="82" xfId="33" applyNumberFormat="1" applyFill="1" applyBorder="1" applyAlignment="1">
      <alignment horizontal="right"/>
      <protection/>
    </xf>
    <xf numFmtId="2" fontId="0" fillId="0" borderId="82" xfId="0" applyNumberFormat="1" applyFill="1" applyBorder="1" applyAlignment="1">
      <alignment horizontal="right"/>
    </xf>
    <xf numFmtId="0" fontId="0" fillId="0" borderId="83" xfId="0" applyBorder="1" applyAlignment="1">
      <alignment horizontal="right"/>
    </xf>
    <xf numFmtId="0" fontId="3" fillId="0" borderId="40" xfId="33" applyBorder="1" applyAlignment="1">
      <alignment horizontal="right"/>
      <protection/>
    </xf>
    <xf numFmtId="0" fontId="7" fillId="0" borderId="44" xfId="33" applyFont="1" applyBorder="1">
      <alignment/>
      <protection/>
    </xf>
    <xf numFmtId="0" fontId="6" fillId="0" borderId="45" xfId="33" applyFont="1" applyBorder="1">
      <alignment/>
      <protection/>
    </xf>
    <xf numFmtId="0" fontId="6" fillId="0" borderId="45" xfId="33" applyFont="1" applyBorder="1" applyAlignment="1">
      <alignment horizontal="center"/>
      <protection/>
    </xf>
    <xf numFmtId="0" fontId="6" fillId="0" borderId="45" xfId="33" applyFont="1" applyBorder="1" applyAlignment="1">
      <alignment horizontal="right"/>
      <protection/>
    </xf>
    <xf numFmtId="0" fontId="6" fillId="0" borderId="46" xfId="33" applyFont="1" applyBorder="1" applyAlignment="1">
      <alignment horizontal="right"/>
      <protection/>
    </xf>
    <xf numFmtId="10" fontId="3" fillId="33" borderId="68" xfId="33" applyNumberFormat="1" applyFill="1" applyBorder="1">
      <alignment/>
      <protection/>
    </xf>
    <xf numFmtId="0" fontId="3" fillId="33" borderId="69" xfId="33" applyFont="1" applyFill="1" applyBorder="1">
      <alignment/>
      <protection/>
    </xf>
    <xf numFmtId="0" fontId="1" fillId="33" borderId="69" xfId="33" applyFont="1" applyFill="1" applyBorder="1">
      <alignment/>
      <protection/>
    </xf>
    <xf numFmtId="0" fontId="1" fillId="33" borderId="69" xfId="33" applyFont="1" applyFill="1" applyBorder="1" applyAlignment="1">
      <alignment horizontal="center"/>
      <protection/>
    </xf>
    <xf numFmtId="2" fontId="1" fillId="33" borderId="69" xfId="33" applyNumberFormat="1" applyFont="1" applyFill="1" applyBorder="1" applyAlignment="1">
      <alignment horizontal="right"/>
      <protection/>
    </xf>
    <xf numFmtId="0" fontId="1" fillId="33" borderId="77" xfId="33" applyFont="1" applyFill="1" applyBorder="1">
      <alignment/>
      <protection/>
    </xf>
    <xf numFmtId="10" fontId="3" fillId="0" borderId="0" xfId="33" applyNumberFormat="1" applyBorder="1" applyAlignment="1">
      <alignment horizontal="center"/>
      <protection/>
    </xf>
    <xf numFmtId="0" fontId="1" fillId="0" borderId="16" xfId="33" applyFont="1" applyBorder="1" applyAlignment="1">
      <alignment horizontal="right"/>
      <protection/>
    </xf>
    <xf numFmtId="0" fontId="3" fillId="0" borderId="36" xfId="33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164" fontId="3" fillId="0" borderId="35" xfId="33" applyNumberFormat="1" applyBorder="1" applyAlignment="1">
      <alignment horizontal="center"/>
      <protection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 horizontal="right"/>
    </xf>
    <xf numFmtId="0" fontId="3" fillId="0" borderId="11" xfId="33" applyFont="1" applyBorder="1" applyAlignment="1">
      <alignment horizontal="center"/>
      <protection/>
    </xf>
    <xf numFmtId="164" fontId="3" fillId="0" borderId="52" xfId="33" applyNumberFormat="1" applyBorder="1">
      <alignment/>
      <protection/>
    </xf>
    <xf numFmtId="0" fontId="3" fillId="0" borderId="52" xfId="33" applyBorder="1">
      <alignment/>
      <protection/>
    </xf>
    <xf numFmtId="164" fontId="3" fillId="0" borderId="25" xfId="33" applyNumberFormat="1" applyFont="1" applyBorder="1">
      <alignment/>
      <protection/>
    </xf>
    <xf numFmtId="0" fontId="3" fillId="0" borderId="25" xfId="33" applyFont="1" applyBorder="1">
      <alignment/>
      <protection/>
    </xf>
    <xf numFmtId="2" fontId="3" fillId="0" borderId="25" xfId="33" applyNumberFormat="1" applyFont="1" applyBorder="1" applyAlignment="1">
      <alignment horizontal="right"/>
      <protection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164" fontId="0" fillId="0" borderId="28" xfId="0" applyNumberFormat="1" applyBorder="1" applyAlignment="1">
      <alignment horizontal="center"/>
    </xf>
    <xf numFmtId="165" fontId="0" fillId="0" borderId="28" xfId="0" applyNumberFormat="1" applyBorder="1" applyAlignment="1">
      <alignment/>
    </xf>
    <xf numFmtId="167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1" fontId="0" fillId="0" borderId="28" xfId="0" applyNumberFormat="1" applyBorder="1" applyAlignment="1">
      <alignment horizontal="right"/>
    </xf>
    <xf numFmtId="0" fontId="3" fillId="0" borderId="69" xfId="0" applyFont="1" applyBorder="1" applyAlignment="1">
      <alignment/>
    </xf>
    <xf numFmtId="0" fontId="0" fillId="0" borderId="35" xfId="0" applyBorder="1" applyAlignment="1">
      <alignment horizontal="center"/>
    </xf>
    <xf numFmtId="0" fontId="3" fillId="0" borderId="71" xfId="33" applyBorder="1" applyAlignment="1">
      <alignment horizontal="right"/>
      <protection/>
    </xf>
    <xf numFmtId="0" fontId="3" fillId="0" borderId="94" xfId="33" applyBorder="1" applyAlignment="1">
      <alignment horizontal="right"/>
      <protection/>
    </xf>
    <xf numFmtId="0" fontId="6" fillId="0" borderId="18" xfId="33" applyFont="1" applyBorder="1">
      <alignment/>
      <protection/>
    </xf>
    <xf numFmtId="10" fontId="6" fillId="0" borderId="0" xfId="33" applyNumberFormat="1" applyFont="1" applyBorder="1">
      <alignment/>
      <protection/>
    </xf>
    <xf numFmtId="0" fontId="6" fillId="0" borderId="0" xfId="33" applyFont="1" applyBorder="1">
      <alignment/>
      <protection/>
    </xf>
    <xf numFmtId="0" fontId="7" fillId="0" borderId="0" xfId="33" applyFont="1" applyBorder="1">
      <alignment/>
      <protection/>
    </xf>
    <xf numFmtId="2" fontId="7" fillId="0" borderId="0" xfId="33" applyNumberFormat="1" applyFont="1" applyBorder="1" applyAlignment="1">
      <alignment horizontal="right"/>
      <protection/>
    </xf>
    <xf numFmtId="0" fontId="7" fillId="0" borderId="0" xfId="33" applyFont="1" applyBorder="1" applyAlignment="1">
      <alignment horizontal="right"/>
      <protection/>
    </xf>
    <xf numFmtId="0" fontId="3" fillId="0" borderId="61" xfId="33" applyFont="1" applyBorder="1">
      <alignment/>
      <protection/>
    </xf>
    <xf numFmtId="0" fontId="1" fillId="0" borderId="62" xfId="33" applyFont="1" applyBorder="1">
      <alignment/>
      <protection/>
    </xf>
    <xf numFmtId="0" fontId="3" fillId="0" borderId="62" xfId="33" applyFont="1" applyBorder="1">
      <alignment/>
      <protection/>
    </xf>
    <xf numFmtId="0" fontId="1" fillId="0" borderId="62" xfId="33" applyFont="1" applyBorder="1" applyAlignment="1">
      <alignment horizontal="center"/>
      <protection/>
    </xf>
    <xf numFmtId="0" fontId="1" fillId="0" borderId="63" xfId="33" applyNumberFormat="1" applyFont="1" applyBorder="1" applyAlignment="1">
      <alignment horizontal="right"/>
      <protection/>
    </xf>
    <xf numFmtId="0" fontId="1" fillId="0" borderId="66" xfId="33" applyFont="1" applyBorder="1">
      <alignment/>
      <protection/>
    </xf>
    <xf numFmtId="0" fontId="1" fillId="0" borderId="13" xfId="33" applyFont="1" applyBorder="1">
      <alignment/>
      <protection/>
    </xf>
    <xf numFmtId="164" fontId="3" fillId="0" borderId="13" xfId="33" applyNumberFormat="1" applyFont="1" applyBorder="1">
      <alignment/>
      <protection/>
    </xf>
    <xf numFmtId="2" fontId="3" fillId="0" borderId="13" xfId="33" applyNumberFormat="1" applyFont="1" applyBorder="1" applyAlignment="1">
      <alignment horizontal="right"/>
      <protection/>
    </xf>
    <xf numFmtId="0" fontId="3" fillId="0" borderId="13" xfId="33" applyBorder="1" applyAlignment="1">
      <alignment horizontal="center"/>
      <protection/>
    </xf>
    <xf numFmtId="9" fontId="3" fillId="0" borderId="14" xfId="33" applyNumberFormat="1" applyBorder="1" applyAlignment="1">
      <alignment horizontal="center"/>
      <protection/>
    </xf>
    <xf numFmtId="0" fontId="6" fillId="34" borderId="66" xfId="33" applyFont="1" applyFill="1" applyBorder="1">
      <alignment/>
      <protection/>
    </xf>
    <xf numFmtId="0" fontId="7" fillId="34" borderId="0" xfId="33" applyFont="1" applyFill="1">
      <alignment/>
      <protection/>
    </xf>
    <xf numFmtId="0" fontId="6" fillId="34" borderId="13" xfId="33" applyFont="1" applyFill="1" applyBorder="1">
      <alignment/>
      <protection/>
    </xf>
    <xf numFmtId="0" fontId="6" fillId="34" borderId="13" xfId="33" applyFont="1" applyFill="1" applyBorder="1" applyAlignment="1">
      <alignment horizontal="center"/>
      <protection/>
    </xf>
    <xf numFmtId="2" fontId="6" fillId="34" borderId="13" xfId="33" applyNumberFormat="1" applyFont="1" applyFill="1" applyBorder="1" applyAlignment="1">
      <alignment horizontal="right"/>
      <protection/>
    </xf>
    <xf numFmtId="0" fontId="7" fillId="34" borderId="13" xfId="33" applyFont="1" applyFill="1" applyBorder="1">
      <alignment/>
      <protection/>
    </xf>
    <xf numFmtId="0" fontId="7" fillId="34" borderId="13" xfId="33" applyFont="1" applyFill="1" applyBorder="1" applyAlignment="1">
      <alignment horizontal="center"/>
      <protection/>
    </xf>
    <xf numFmtId="0" fontId="6" fillId="34" borderId="14" xfId="33" applyFont="1" applyFill="1" applyBorder="1" applyAlignment="1">
      <alignment horizontal="center"/>
      <protection/>
    </xf>
    <xf numFmtId="10" fontId="3" fillId="0" borderId="13" xfId="33" applyNumberFormat="1" applyFont="1" applyBorder="1">
      <alignment/>
      <protection/>
    </xf>
    <xf numFmtId="9" fontId="1" fillId="0" borderId="14" xfId="33" applyNumberFormat="1" applyFont="1" applyBorder="1" applyAlignment="1">
      <alignment horizontal="center"/>
      <protection/>
    </xf>
    <xf numFmtId="9" fontId="1" fillId="0" borderId="13" xfId="33" applyNumberFormat="1" applyFont="1" applyBorder="1">
      <alignment/>
      <protection/>
    </xf>
    <xf numFmtId="0" fontId="3" fillId="0" borderId="0" xfId="33" applyAlignment="1">
      <alignment horizontal="center"/>
      <protection/>
    </xf>
    <xf numFmtId="10" fontId="3" fillId="0" borderId="0" xfId="33" applyNumberFormat="1">
      <alignment/>
      <protection/>
    </xf>
    <xf numFmtId="0" fontId="1" fillId="0" borderId="0" xfId="33" applyFont="1">
      <alignment/>
      <protection/>
    </xf>
    <xf numFmtId="2" fontId="1" fillId="0" borderId="0" xfId="33" applyNumberFormat="1" applyFont="1" applyAlignment="1">
      <alignment horizontal="right"/>
      <protection/>
    </xf>
    <xf numFmtId="0" fontId="2" fillId="0" borderId="0" xfId="33" applyFont="1" applyAlignment="1">
      <alignment horizontal="right"/>
      <protection/>
    </xf>
    <xf numFmtId="0" fontId="1" fillId="0" borderId="11" xfId="33" applyFont="1" applyBorder="1" applyAlignment="1">
      <alignment horizontal="center" wrapText="1"/>
      <protection/>
    </xf>
    <xf numFmtId="0" fontId="1" fillId="0" borderId="14" xfId="33" applyFont="1" applyBorder="1" applyAlignment="1">
      <alignment horizontal="center"/>
      <protection/>
    </xf>
    <xf numFmtId="0" fontId="1" fillId="0" borderId="0" xfId="33" applyFont="1" applyBorder="1" applyAlignment="1">
      <alignment/>
      <protection/>
    </xf>
    <xf numFmtId="0" fontId="3" fillId="0" borderId="22" xfId="33" applyFont="1" applyBorder="1">
      <alignment/>
      <protection/>
    </xf>
    <xf numFmtId="0" fontId="3" fillId="0" borderId="23" xfId="33" applyFont="1" applyBorder="1">
      <alignment/>
      <protection/>
    </xf>
    <xf numFmtId="0" fontId="3" fillId="0" borderId="23" xfId="33" applyBorder="1">
      <alignment/>
      <protection/>
    </xf>
    <xf numFmtId="0" fontId="3" fillId="0" borderId="78" xfId="33" applyBorder="1" applyAlignment="1">
      <alignment horizontal="center"/>
      <protection/>
    </xf>
    <xf numFmtId="1" fontId="1" fillId="0" borderId="35" xfId="0" applyNumberFormat="1" applyFont="1" applyBorder="1" applyAlignment="1">
      <alignment horizontal="center"/>
    </xf>
    <xf numFmtId="49" fontId="1" fillId="0" borderId="30" xfId="33" applyNumberFormat="1" applyFont="1" applyFill="1" applyBorder="1" applyAlignment="1">
      <alignment horizontal="center"/>
      <protection/>
    </xf>
    <xf numFmtId="0" fontId="3" fillId="0" borderId="49" xfId="33" applyFont="1" applyFill="1" applyBorder="1">
      <alignment/>
      <protection/>
    </xf>
    <xf numFmtId="0" fontId="3" fillId="0" borderId="50" xfId="33" applyFont="1" applyFill="1" applyBorder="1">
      <alignment/>
      <protection/>
    </xf>
    <xf numFmtId="0" fontId="3" fillId="0" borderId="50" xfId="33" applyFill="1" applyBorder="1">
      <alignment/>
      <protection/>
    </xf>
    <xf numFmtId="0" fontId="3" fillId="0" borderId="72" xfId="33" applyFill="1" applyBorder="1" applyAlignment="1">
      <alignment horizontal="center"/>
      <protection/>
    </xf>
    <xf numFmtId="164" fontId="3" fillId="0" borderId="52" xfId="33" applyNumberFormat="1" applyFill="1" applyBorder="1">
      <alignment/>
      <protection/>
    </xf>
    <xf numFmtId="0" fontId="3" fillId="0" borderId="52" xfId="33" applyFill="1" applyBorder="1">
      <alignment/>
      <protection/>
    </xf>
    <xf numFmtId="2" fontId="3" fillId="0" borderId="52" xfId="33" applyNumberFormat="1" applyFill="1" applyBorder="1" applyAlignment="1">
      <alignment horizontal="right"/>
      <protection/>
    </xf>
    <xf numFmtId="0" fontId="1" fillId="0" borderId="29" xfId="0" applyFont="1" applyFill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57" xfId="0" applyFont="1" applyBorder="1" applyAlignment="1">
      <alignment/>
    </xf>
    <xf numFmtId="10" fontId="1" fillId="33" borderId="43" xfId="33" applyNumberFormat="1" applyFont="1" applyFill="1" applyBorder="1" applyAlignment="1">
      <alignment horizontal="right"/>
      <protection/>
    </xf>
    <xf numFmtId="0" fontId="1" fillId="0" borderId="86" xfId="33" applyFont="1" applyBorder="1" applyAlignment="1">
      <alignment horizontal="center"/>
      <protection/>
    </xf>
    <xf numFmtId="166" fontId="1" fillId="0" borderId="86" xfId="33" applyNumberFormat="1" applyFont="1" applyBorder="1">
      <alignment/>
      <protection/>
    </xf>
    <xf numFmtId="0" fontId="3" fillId="0" borderId="86" xfId="33" applyBorder="1">
      <alignment/>
      <protection/>
    </xf>
    <xf numFmtId="0" fontId="3" fillId="0" borderId="86" xfId="33" applyBorder="1" applyAlignment="1">
      <alignment horizontal="center"/>
      <protection/>
    </xf>
    <xf numFmtId="2" fontId="3" fillId="0" borderId="86" xfId="33" applyNumberFormat="1" applyBorder="1" applyAlignment="1">
      <alignment horizontal="right"/>
      <protection/>
    </xf>
    <xf numFmtId="0" fontId="1" fillId="0" borderId="86" xfId="33" applyFont="1" applyBorder="1" applyAlignment="1">
      <alignment horizontal="right"/>
      <protection/>
    </xf>
    <xf numFmtId="0" fontId="3" fillId="0" borderId="86" xfId="33" applyBorder="1" applyAlignment="1">
      <alignment horizontal="right"/>
      <protection/>
    </xf>
    <xf numFmtId="9" fontId="3" fillId="0" borderId="87" xfId="33" applyNumberFormat="1" applyBorder="1" applyAlignment="1">
      <alignment horizontal="right"/>
      <protection/>
    </xf>
    <xf numFmtId="0" fontId="1" fillId="0" borderId="3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left" wrapText="1"/>
      <protection/>
    </xf>
    <xf numFmtId="0" fontId="3" fillId="0" borderId="0" xfId="33" applyFill="1" applyBorder="1" applyAlignment="1">
      <alignment horizontal="center"/>
      <protection/>
    </xf>
    <xf numFmtId="0" fontId="1" fillId="0" borderId="54" xfId="33" applyFont="1" applyBorder="1" applyAlignment="1">
      <alignment horizontal="center"/>
      <protection/>
    </xf>
    <xf numFmtId="0" fontId="3" fillId="0" borderId="53" xfId="33" applyFont="1" applyBorder="1" applyAlignment="1">
      <alignment horizontal="center"/>
      <protection/>
    </xf>
    <xf numFmtId="0" fontId="3" fillId="0" borderId="28" xfId="33" applyFont="1" applyBorder="1" applyAlignment="1">
      <alignment horizontal="right"/>
      <protection/>
    </xf>
    <xf numFmtId="164" fontId="3" fillId="0" borderId="12" xfId="33" applyNumberFormat="1" applyBorder="1" applyAlignment="1">
      <alignment horizontal="right"/>
      <protection/>
    </xf>
    <xf numFmtId="0" fontId="3" fillId="0" borderId="78" xfId="33" applyFont="1" applyBorder="1" applyAlignment="1">
      <alignment horizontal="center"/>
      <protection/>
    </xf>
    <xf numFmtId="0" fontId="3" fillId="0" borderId="0" xfId="33" applyFont="1" applyBorder="1" applyAlignment="1">
      <alignment horizontal="left"/>
      <protection/>
    </xf>
    <xf numFmtId="164" fontId="3" fillId="0" borderId="0" xfId="33" applyNumberFormat="1" applyFont="1" applyBorder="1">
      <alignment/>
      <protection/>
    </xf>
    <xf numFmtId="0" fontId="1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56" xfId="33" applyBorder="1">
      <alignment/>
      <protection/>
    </xf>
    <xf numFmtId="0" fontId="1" fillId="0" borderId="70" xfId="33" applyFont="1" applyBorder="1" applyAlignment="1">
      <alignment horizontal="center"/>
      <protection/>
    </xf>
    <xf numFmtId="164" fontId="3" fillId="0" borderId="62" xfId="33" applyNumberFormat="1" applyBorder="1" applyAlignment="1">
      <alignment horizontal="right"/>
      <protection/>
    </xf>
    <xf numFmtId="0" fontId="3" fillId="0" borderId="62" xfId="33" applyBorder="1" applyAlignment="1">
      <alignment horizontal="right"/>
      <protection/>
    </xf>
    <xf numFmtId="2" fontId="3" fillId="0" borderId="62" xfId="33" applyNumberFormat="1" applyFont="1" applyBorder="1" applyAlignment="1">
      <alignment horizontal="right"/>
      <protection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5" xfId="0" applyFont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35" xfId="0" applyFont="1" applyBorder="1" applyAlignment="1">
      <alignment horizontal="center"/>
    </xf>
    <xf numFmtId="9" fontId="1" fillId="0" borderId="46" xfId="33" applyNumberFormat="1" applyFont="1" applyBorder="1" applyAlignment="1">
      <alignment horizontal="right"/>
      <protection/>
    </xf>
    <xf numFmtId="10" fontId="1" fillId="33" borderId="68" xfId="33" applyNumberFormat="1" applyFont="1" applyFill="1" applyBorder="1">
      <alignment/>
      <protection/>
    </xf>
    <xf numFmtId="1" fontId="1" fillId="33" borderId="77" xfId="33" applyNumberFormat="1" applyFont="1" applyFill="1" applyBorder="1" applyAlignment="1">
      <alignment horizontal="right"/>
      <protection/>
    </xf>
    <xf numFmtId="10" fontId="1" fillId="0" borderId="0" xfId="33" applyNumberFormat="1" applyFont="1" applyFill="1" applyBorder="1">
      <alignment/>
      <protection/>
    </xf>
    <xf numFmtId="1" fontId="1" fillId="0" borderId="0" xfId="33" applyNumberFormat="1" applyFont="1" applyFill="1" applyBorder="1" applyAlignment="1">
      <alignment horizontal="right"/>
      <protection/>
    </xf>
    <xf numFmtId="0" fontId="3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8" xfId="33" applyFont="1" applyBorder="1" applyAlignment="1">
      <alignment/>
      <protection/>
    </xf>
    <xf numFmtId="0" fontId="3" fillId="0" borderId="0" xfId="33" applyFont="1" applyBorder="1" applyAlignment="1">
      <alignment/>
      <protection/>
    </xf>
    <xf numFmtId="0" fontId="1" fillId="0" borderId="40" xfId="33" applyFont="1" applyBorder="1" applyAlignment="1">
      <alignment horizontal="right"/>
      <protection/>
    </xf>
    <xf numFmtId="10" fontId="3" fillId="0" borderId="64" xfId="33" applyNumberFormat="1" applyBorder="1">
      <alignment/>
      <protection/>
    </xf>
    <xf numFmtId="0" fontId="1" fillId="0" borderId="45" xfId="33" applyFont="1" applyBorder="1">
      <alignment/>
      <protection/>
    </xf>
    <xf numFmtId="0" fontId="1" fillId="0" borderId="45" xfId="33" applyFont="1" applyBorder="1" applyAlignment="1">
      <alignment horizontal="center"/>
      <protection/>
    </xf>
    <xf numFmtId="2" fontId="1" fillId="0" borderId="45" xfId="33" applyNumberFormat="1" applyFont="1" applyBorder="1" applyAlignment="1">
      <alignment horizontal="right"/>
      <protection/>
    </xf>
    <xf numFmtId="0" fontId="3" fillId="0" borderId="45" xfId="33" applyBorder="1" applyAlignment="1">
      <alignment horizontal="right"/>
      <protection/>
    </xf>
    <xf numFmtId="0" fontId="3" fillId="0" borderId="65" xfId="33" applyBorder="1" applyAlignment="1">
      <alignment horizontal="right"/>
      <protection/>
    </xf>
    <xf numFmtId="0" fontId="3" fillId="0" borderId="13" xfId="33" applyBorder="1" applyAlignment="1">
      <alignment horizontal="right"/>
      <protection/>
    </xf>
    <xf numFmtId="9" fontId="3" fillId="0" borderId="14" xfId="33" applyNumberFormat="1" applyBorder="1" applyAlignment="1">
      <alignment horizontal="right"/>
      <protection/>
    </xf>
    <xf numFmtId="10" fontId="3" fillId="0" borderId="66" xfId="33" applyNumberFormat="1" applyBorder="1">
      <alignment/>
      <protection/>
    </xf>
    <xf numFmtId="0" fontId="3" fillId="0" borderId="14" xfId="33" applyBorder="1" applyAlignment="1">
      <alignment horizontal="right"/>
      <protection/>
    </xf>
    <xf numFmtId="0" fontId="7" fillId="34" borderId="13" xfId="33" applyFont="1" applyFill="1" applyBorder="1" applyAlignment="1">
      <alignment horizontal="right"/>
      <protection/>
    </xf>
    <xf numFmtId="10" fontId="11" fillId="34" borderId="14" xfId="33" applyNumberFormat="1" applyFont="1" applyFill="1" applyBorder="1" applyAlignment="1">
      <alignment horizontal="right"/>
      <protection/>
    </xf>
    <xf numFmtId="9" fontId="1" fillId="0" borderId="14" xfId="33" applyNumberFormat="1" applyFont="1" applyBorder="1" applyAlignment="1">
      <alignment horizontal="right"/>
      <protection/>
    </xf>
    <xf numFmtId="0" fontId="1" fillId="33" borderId="66" xfId="33" applyFont="1" applyFill="1" applyBorder="1">
      <alignment/>
      <protection/>
    </xf>
    <xf numFmtId="9" fontId="1" fillId="33" borderId="13" xfId="33" applyNumberFormat="1" applyFont="1" applyFill="1" applyBorder="1">
      <alignment/>
      <protection/>
    </xf>
    <xf numFmtId="0" fontId="1" fillId="33" borderId="13" xfId="33" applyFont="1" applyFill="1" applyBorder="1">
      <alignment/>
      <protection/>
    </xf>
    <xf numFmtId="0" fontId="1" fillId="33" borderId="13" xfId="33" applyFont="1" applyFill="1" applyBorder="1" applyAlignment="1">
      <alignment horizontal="center"/>
      <protection/>
    </xf>
    <xf numFmtId="2" fontId="1" fillId="33" borderId="13" xfId="33" applyNumberFormat="1" applyFont="1" applyFill="1" applyBorder="1" applyAlignment="1">
      <alignment horizontal="right"/>
      <protection/>
    </xf>
    <xf numFmtId="1" fontId="1" fillId="33" borderId="13" xfId="33" applyNumberFormat="1" applyFont="1" applyFill="1" applyBorder="1" applyAlignment="1">
      <alignment horizontal="right"/>
      <protection/>
    </xf>
    <xf numFmtId="10" fontId="3" fillId="0" borderId="0" xfId="33" applyNumberFormat="1" applyAlignment="1">
      <alignment horizontal="right"/>
      <protection/>
    </xf>
    <xf numFmtId="0" fontId="2" fillId="0" borderId="0" xfId="33" applyFont="1" applyAlignment="1">
      <alignment horizontal="center"/>
      <protection/>
    </xf>
    <xf numFmtId="0" fontId="3" fillId="0" borderId="50" xfId="33" applyFont="1" applyBorder="1">
      <alignment/>
      <protection/>
    </xf>
    <xf numFmtId="0" fontId="3" fillId="0" borderId="72" xfId="33" applyBorder="1" applyAlignment="1">
      <alignment horizontal="center"/>
      <protection/>
    </xf>
    <xf numFmtId="0" fontId="1" fillId="0" borderId="29" xfId="0" applyFont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0" fillId="0" borderId="95" xfId="0" applyBorder="1" applyAlignment="1">
      <alignment/>
    </xf>
    <xf numFmtId="0" fontId="0" fillId="0" borderId="86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1" fontId="1" fillId="33" borderId="42" xfId="33" applyNumberFormat="1" applyFont="1" applyFill="1" applyBorder="1" applyAlignment="1">
      <alignment horizontal="right"/>
      <protection/>
    </xf>
    <xf numFmtId="10" fontId="6" fillId="0" borderId="46" xfId="33" applyNumberFormat="1" applyFont="1" applyBorder="1" applyAlignment="1">
      <alignment horizontal="right"/>
      <protection/>
    </xf>
    <xf numFmtId="0" fontId="6" fillId="33" borderId="37" xfId="33" applyFont="1" applyFill="1" applyBorder="1">
      <alignment/>
      <protection/>
    </xf>
    <xf numFmtId="0" fontId="6" fillId="33" borderId="30" xfId="33" applyFont="1" applyFill="1" applyBorder="1">
      <alignment/>
      <protection/>
    </xf>
    <xf numFmtId="10" fontId="6" fillId="33" borderId="30" xfId="33" applyNumberFormat="1" applyFont="1" applyFill="1" applyBorder="1">
      <alignment/>
      <protection/>
    </xf>
    <xf numFmtId="0" fontId="6" fillId="33" borderId="30" xfId="33" applyFont="1" applyFill="1" applyBorder="1" applyAlignment="1">
      <alignment horizontal="center"/>
      <protection/>
    </xf>
    <xf numFmtId="2" fontId="6" fillId="33" borderId="30" xfId="33" applyNumberFormat="1" applyFont="1" applyFill="1" applyBorder="1" applyAlignment="1">
      <alignment horizontal="right"/>
      <protection/>
    </xf>
    <xf numFmtId="0" fontId="1" fillId="33" borderId="17" xfId="33" applyFont="1" applyFill="1" applyBorder="1" applyAlignment="1">
      <alignment horizontal="right"/>
      <protection/>
    </xf>
    <xf numFmtId="164" fontId="3" fillId="0" borderId="11" xfId="33" applyNumberFormat="1" applyFill="1" applyBorder="1" applyAlignment="1">
      <alignment horizontal="right"/>
      <protection/>
    </xf>
    <xf numFmtId="0" fontId="3" fillId="0" borderId="11" xfId="33" applyFill="1" applyBorder="1" applyAlignment="1">
      <alignment horizontal="right"/>
      <protection/>
    </xf>
    <xf numFmtId="0" fontId="3" fillId="0" borderId="54" xfId="33" applyFont="1" applyFill="1" applyBorder="1" applyAlignment="1">
      <alignment horizontal="center"/>
      <protection/>
    </xf>
    <xf numFmtId="0" fontId="3" fillId="0" borderId="45" xfId="33" applyFill="1" applyBorder="1">
      <alignment/>
      <protection/>
    </xf>
    <xf numFmtId="0" fontId="3" fillId="0" borderId="65" xfId="33" applyFill="1" applyBorder="1">
      <alignment/>
      <protection/>
    </xf>
    <xf numFmtId="0" fontId="3" fillId="0" borderId="36" xfId="33" applyFont="1" applyFill="1" applyBorder="1" applyAlignment="1">
      <alignment horizontal="right"/>
      <protection/>
    </xf>
    <xf numFmtId="0" fontId="3" fillId="0" borderId="29" xfId="0" applyNumberFormat="1" applyFont="1" applyBorder="1" applyAlignment="1">
      <alignment horizontal="right"/>
    </xf>
    <xf numFmtId="2" fontId="3" fillId="0" borderId="83" xfId="33" applyNumberFormat="1" applyBorder="1" applyAlignment="1">
      <alignment horizontal="right"/>
      <protection/>
    </xf>
    <xf numFmtId="0" fontId="0" fillId="0" borderId="67" xfId="0" applyBorder="1" applyAlignment="1">
      <alignment horizontal="right"/>
    </xf>
    <xf numFmtId="0" fontId="1" fillId="0" borderId="32" xfId="33" applyFont="1" applyBorder="1" applyAlignment="1">
      <alignment horizontal="left"/>
      <protection/>
    </xf>
    <xf numFmtId="164" fontId="3" fillId="0" borderId="28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" fillId="35" borderId="37" xfId="0" applyFont="1" applyFill="1" applyBorder="1" applyAlignment="1">
      <alignment/>
    </xf>
    <xf numFmtId="0" fontId="3" fillId="35" borderId="30" xfId="33" applyFont="1" applyFill="1" applyBorder="1">
      <alignment/>
      <protection/>
    </xf>
    <xf numFmtId="0" fontId="1" fillId="35" borderId="38" xfId="33" applyFont="1" applyFill="1" applyBorder="1" applyAlignment="1">
      <alignment horizontal="center"/>
      <protection/>
    </xf>
    <xf numFmtId="164" fontId="0" fillId="35" borderId="16" xfId="0" applyNumberFormat="1" applyFill="1" applyBorder="1" applyAlignment="1">
      <alignment/>
    </xf>
    <xf numFmtId="0" fontId="0" fillId="35" borderId="16" xfId="0" applyFill="1" applyBorder="1" applyAlignment="1">
      <alignment/>
    </xf>
    <xf numFmtId="2" fontId="0" fillId="35" borderId="38" xfId="0" applyNumberFormat="1" applyFill="1" applyBorder="1" applyAlignment="1">
      <alignment horizontal="right"/>
    </xf>
    <xf numFmtId="2" fontId="1" fillId="35" borderId="38" xfId="0" applyNumberFormat="1" applyFont="1" applyFill="1" applyBorder="1" applyAlignment="1">
      <alignment horizontal="right"/>
    </xf>
    <xf numFmtId="0" fontId="4" fillId="35" borderId="16" xfId="0" applyFont="1" applyFill="1" applyBorder="1" applyAlignment="1">
      <alignment horizontal="right"/>
    </xf>
    <xf numFmtId="0" fontId="4" fillId="35" borderId="17" xfId="0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33" borderId="77" xfId="33" applyFont="1" applyFill="1" applyBorder="1" applyAlignment="1">
      <alignment horizontal="right"/>
      <protection/>
    </xf>
    <xf numFmtId="10" fontId="3" fillId="0" borderId="0" xfId="33" applyNumberFormat="1" applyBorder="1">
      <alignment/>
      <protection/>
    </xf>
    <xf numFmtId="10" fontId="3" fillId="0" borderId="0" xfId="33" applyNumberFormat="1" applyFont="1" applyBorder="1" applyAlignment="1">
      <alignment horizontal="right"/>
      <protection/>
    </xf>
    <xf numFmtId="0" fontId="3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96" xfId="0" applyBorder="1" applyAlignment="1">
      <alignment/>
    </xf>
    <xf numFmtId="164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0" fillId="0" borderId="76" xfId="0" applyFill="1" applyBorder="1" applyAlignment="1">
      <alignment/>
    </xf>
    <xf numFmtId="1" fontId="3" fillId="0" borderId="28" xfId="33" applyNumberFormat="1" applyFill="1" applyBorder="1">
      <alignment/>
      <protection/>
    </xf>
    <xf numFmtId="0" fontId="1" fillId="0" borderId="37" xfId="0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3" fillId="33" borderId="13" xfId="33" applyFont="1" applyFill="1" applyBorder="1">
      <alignment/>
      <protection/>
    </xf>
    <xf numFmtId="2" fontId="3" fillId="33" borderId="13" xfId="33" applyNumberFormat="1" applyFont="1" applyFill="1" applyBorder="1" applyAlignment="1">
      <alignment horizontal="right"/>
      <protection/>
    </xf>
    <xf numFmtId="0" fontId="1" fillId="33" borderId="14" xfId="33" applyFont="1" applyFill="1" applyBorder="1" applyAlignment="1">
      <alignment horizontal="right"/>
      <protection/>
    </xf>
    <xf numFmtId="0" fontId="6" fillId="0" borderId="13" xfId="33" applyFont="1" applyBorder="1" applyAlignment="1">
      <alignment horizontal="center"/>
      <protection/>
    </xf>
    <xf numFmtId="0" fontId="6" fillId="0" borderId="13" xfId="33" applyFont="1" applyBorder="1">
      <alignment/>
      <protection/>
    </xf>
    <xf numFmtId="0" fontId="7" fillId="0" borderId="13" xfId="33" applyFont="1" applyBorder="1">
      <alignment/>
      <protection/>
    </xf>
    <xf numFmtId="2" fontId="7" fillId="0" borderId="13" xfId="33" applyNumberFormat="1" applyFont="1" applyBorder="1" applyAlignment="1">
      <alignment horizontal="right"/>
      <protection/>
    </xf>
    <xf numFmtId="2" fontId="6" fillId="0" borderId="13" xfId="33" applyNumberFormat="1" applyFont="1" applyBorder="1" applyAlignment="1">
      <alignment horizontal="right"/>
      <protection/>
    </xf>
    <xf numFmtId="0" fontId="3" fillId="0" borderId="13" xfId="33" applyFont="1" applyBorder="1" applyAlignment="1">
      <alignment horizontal="right"/>
      <protection/>
    </xf>
    <xf numFmtId="0" fontId="6" fillId="34" borderId="14" xfId="33" applyFont="1" applyFill="1" applyBorder="1" applyAlignment="1">
      <alignment horizontal="right"/>
      <protection/>
    </xf>
    <xf numFmtId="0" fontId="1" fillId="33" borderId="14" xfId="33" applyFont="1" applyFill="1" applyBorder="1">
      <alignment/>
      <protection/>
    </xf>
    <xf numFmtId="9" fontId="1" fillId="0" borderId="0" xfId="33" applyNumberFormat="1" applyFont="1" applyBorder="1">
      <alignment/>
      <protection/>
    </xf>
    <xf numFmtId="10" fontId="1" fillId="0" borderId="0" xfId="33" applyNumberFormat="1" applyFont="1" applyBorder="1" applyAlignment="1">
      <alignment horizontal="center"/>
      <protection/>
    </xf>
    <xf numFmtId="0" fontId="12" fillId="0" borderId="0" xfId="33" applyFont="1" applyBorder="1">
      <alignment/>
      <protection/>
    </xf>
    <xf numFmtId="9" fontId="12" fillId="0" borderId="0" xfId="33" applyNumberFormat="1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>
      <alignment/>
      <protection/>
    </xf>
    <xf numFmtId="2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center"/>
      <protection/>
    </xf>
    <xf numFmtId="0" fontId="12" fillId="0" borderId="0" xfId="33" applyFont="1" applyBorder="1" applyAlignment="1">
      <alignment horizontal="center"/>
      <protection/>
    </xf>
    <xf numFmtId="2" fontId="12" fillId="0" borderId="0" xfId="33" applyNumberFormat="1" applyFont="1" applyBorder="1" applyAlignment="1">
      <alignment horizontal="right"/>
      <protection/>
    </xf>
    <xf numFmtId="2" fontId="12" fillId="0" borderId="0" xfId="33" applyNumberFormat="1" applyFont="1" applyBorder="1" applyAlignment="1">
      <alignment horizontal="center"/>
      <protection/>
    </xf>
    <xf numFmtId="0" fontId="12" fillId="0" borderId="0" xfId="33" applyFont="1" applyFill="1" applyBorder="1">
      <alignment/>
      <protection/>
    </xf>
    <xf numFmtId="9" fontId="12" fillId="0" borderId="0" xfId="33" applyNumberFormat="1" applyFont="1" applyFill="1" applyBorder="1">
      <alignment/>
      <protection/>
    </xf>
    <xf numFmtId="0" fontId="12" fillId="0" borderId="0" xfId="33" applyFont="1" applyFill="1" applyBorder="1" applyAlignment="1">
      <alignment horizontal="center"/>
      <protection/>
    </xf>
    <xf numFmtId="2" fontId="12" fillId="0" borderId="0" xfId="33" applyNumberFormat="1" applyFont="1" applyFill="1" applyBorder="1" applyAlignment="1">
      <alignment horizontal="right"/>
      <protection/>
    </xf>
    <xf numFmtId="2" fontId="12" fillId="0" borderId="0" xfId="33" applyNumberFormat="1" applyFont="1" applyFill="1" applyBorder="1" applyAlignment="1">
      <alignment horizontal="center"/>
      <protection/>
    </xf>
    <xf numFmtId="0" fontId="13" fillId="0" borderId="0" xfId="33" applyFont="1" applyFill="1" applyBorder="1">
      <alignment/>
      <protection/>
    </xf>
    <xf numFmtId="9" fontId="13" fillId="0" borderId="0" xfId="33" applyNumberFormat="1" applyFont="1" applyFill="1" applyBorder="1">
      <alignment/>
      <protection/>
    </xf>
    <xf numFmtId="0" fontId="13" fillId="0" borderId="0" xfId="33" applyFont="1" applyFill="1" applyBorder="1" applyAlignment="1">
      <alignment horizontal="center"/>
      <protection/>
    </xf>
    <xf numFmtId="2" fontId="13" fillId="0" borderId="0" xfId="33" applyNumberFormat="1" applyFont="1" applyFill="1" applyBorder="1" applyAlignment="1">
      <alignment horizontal="right"/>
      <protection/>
    </xf>
    <xf numFmtId="2" fontId="13" fillId="0" borderId="0" xfId="33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33" applyFont="1" applyBorder="1">
      <alignment/>
      <protection/>
    </xf>
    <xf numFmtId="9" fontId="13" fillId="0" borderId="0" xfId="33" applyNumberFormat="1" applyFont="1" applyBorder="1">
      <alignment/>
      <protection/>
    </xf>
    <xf numFmtId="0" fontId="13" fillId="0" borderId="0" xfId="33" applyFont="1" applyBorder="1" applyAlignment="1">
      <alignment horizontal="center"/>
      <protection/>
    </xf>
    <xf numFmtId="2" fontId="13" fillId="0" borderId="0" xfId="33" applyNumberFormat="1" applyFont="1" applyBorder="1" applyAlignment="1">
      <alignment horizontal="right"/>
      <protection/>
    </xf>
    <xf numFmtId="2" fontId="13" fillId="0" borderId="0" xfId="33" applyNumberFormat="1" applyFont="1" applyBorder="1" applyAlignment="1">
      <alignment horizontal="center"/>
      <protection/>
    </xf>
    <xf numFmtId="0" fontId="3" fillId="0" borderId="97" xfId="0" applyFont="1" applyBorder="1" applyAlignment="1">
      <alignment horizontal="right"/>
    </xf>
    <xf numFmtId="0" fontId="3" fillId="0" borderId="98" xfId="0" applyFont="1" applyBorder="1" applyAlignment="1">
      <alignment horizontal="right"/>
    </xf>
    <xf numFmtId="10" fontId="0" fillId="0" borderId="0" xfId="0" applyNumberFormat="1" applyAlignment="1">
      <alignment/>
    </xf>
    <xf numFmtId="2" fontId="1" fillId="0" borderId="28" xfId="0" applyNumberFormat="1" applyFont="1" applyBorder="1" applyAlignment="1">
      <alignment horizontal="right"/>
    </xf>
    <xf numFmtId="9" fontId="1" fillId="33" borderId="35" xfId="33" applyNumberFormat="1" applyFont="1" applyFill="1" applyBorder="1" applyAlignment="1">
      <alignment horizontal="center"/>
      <protection/>
    </xf>
    <xf numFmtId="0" fontId="1" fillId="33" borderId="35" xfId="33" applyFont="1" applyFill="1" applyBorder="1" applyAlignment="1">
      <alignment horizontal="center"/>
      <protection/>
    </xf>
    <xf numFmtId="2" fontId="1" fillId="33" borderId="35" xfId="33" applyNumberFormat="1" applyFont="1" applyFill="1" applyBorder="1" applyAlignment="1">
      <alignment horizontal="right"/>
      <protection/>
    </xf>
    <xf numFmtId="0" fontId="1" fillId="33" borderId="35" xfId="33" applyFont="1" applyFill="1" applyBorder="1" applyAlignment="1">
      <alignment horizontal="right"/>
      <protection/>
    </xf>
    <xf numFmtId="0" fontId="1" fillId="33" borderId="57" xfId="33" applyFont="1" applyFill="1" applyBorder="1" applyAlignment="1">
      <alignment horizontal="right"/>
      <protection/>
    </xf>
    <xf numFmtId="0" fontId="3" fillId="0" borderId="18" xfId="33" applyFont="1" applyBorder="1" applyAlignment="1">
      <alignment horizontal="left"/>
      <protection/>
    </xf>
    <xf numFmtId="164" fontId="3" fillId="0" borderId="0" xfId="33" applyNumberFormat="1" applyBorder="1" applyAlignment="1">
      <alignment horizontal="center"/>
      <protection/>
    </xf>
    <xf numFmtId="10" fontId="2" fillId="0" borderId="95" xfId="33" applyNumberFormat="1" applyFont="1" applyBorder="1">
      <alignment/>
      <protection/>
    </xf>
    <xf numFmtId="0" fontId="1" fillId="0" borderId="86" xfId="33" applyFont="1" applyBorder="1">
      <alignment/>
      <protection/>
    </xf>
    <xf numFmtId="0" fontId="1" fillId="0" borderId="86" xfId="33" applyFont="1" applyBorder="1" applyAlignment="1">
      <alignment horizontal="left"/>
      <protection/>
    </xf>
    <xf numFmtId="0" fontId="3" fillId="0" borderId="86" xfId="33" applyBorder="1" applyAlignment="1">
      <alignment horizontal="left"/>
      <protection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82" xfId="0" applyNumberFormat="1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2" fontId="3" fillId="0" borderId="82" xfId="0" applyNumberFormat="1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1" fillId="0" borderId="30" xfId="33" applyFont="1" applyBorder="1" applyAlignment="1">
      <alignment horizontal="left"/>
      <protection/>
    </xf>
    <xf numFmtId="10" fontId="1" fillId="0" borderId="46" xfId="33" applyNumberFormat="1" applyFont="1" applyBorder="1" applyAlignment="1">
      <alignment horizontal="right"/>
      <protection/>
    </xf>
    <xf numFmtId="164" fontId="1" fillId="0" borderId="0" xfId="33" applyNumberFormat="1" applyFont="1" applyFill="1" applyBorder="1" applyAlignment="1">
      <alignment horizontal="center"/>
      <protection/>
    </xf>
    <xf numFmtId="2" fontId="1" fillId="0" borderId="0" xfId="33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1" fontId="1" fillId="0" borderId="30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64" fontId="0" fillId="0" borderId="33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/>
    </xf>
    <xf numFmtId="167" fontId="0" fillId="0" borderId="33" xfId="0" applyNumberForma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34" xfId="0" applyFill="1" applyBorder="1" applyAlignment="1">
      <alignment/>
    </xf>
    <xf numFmtId="164" fontId="0" fillId="0" borderId="35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right"/>
    </xf>
    <xf numFmtId="10" fontId="1" fillId="0" borderId="63" xfId="33" applyNumberFormat="1" applyFont="1" applyBorder="1" applyAlignment="1">
      <alignment horizontal="right"/>
      <protection/>
    </xf>
    <xf numFmtId="10" fontId="1" fillId="33" borderId="13" xfId="33" applyNumberFormat="1" applyFont="1" applyFill="1" applyBorder="1">
      <alignment/>
      <protection/>
    </xf>
    <xf numFmtId="0" fontId="1" fillId="33" borderId="13" xfId="33" applyFont="1" applyFill="1" applyBorder="1" applyAlignment="1">
      <alignment horizontal="left"/>
      <protection/>
    </xf>
    <xf numFmtId="0" fontId="1" fillId="33" borderId="13" xfId="33" applyFont="1" applyFill="1" applyBorder="1" applyAlignment="1">
      <alignment horizontal="right"/>
      <protection/>
    </xf>
    <xf numFmtId="0" fontId="5" fillId="0" borderId="17" xfId="0" applyFont="1" applyBorder="1" applyAlignment="1">
      <alignment horizontal="right"/>
    </xf>
    <xf numFmtId="0" fontId="1" fillId="0" borderId="28" xfId="33" applyFont="1" applyBorder="1" applyAlignment="1">
      <alignment horizontal="center"/>
      <protection/>
    </xf>
    <xf numFmtId="0" fontId="3" fillId="0" borderId="18" xfId="33" applyFont="1" applyFill="1" applyBorder="1">
      <alignment/>
      <protection/>
    </xf>
    <xf numFmtId="0" fontId="3" fillId="0" borderId="19" xfId="33" applyFill="1" applyBorder="1" applyAlignment="1">
      <alignment horizontal="center"/>
      <protection/>
    </xf>
    <xf numFmtId="164" fontId="3" fillId="0" borderId="20" xfId="33" applyNumberFormat="1" applyFill="1" applyBorder="1">
      <alignment/>
      <protection/>
    </xf>
    <xf numFmtId="0" fontId="3" fillId="0" borderId="20" xfId="33" applyFill="1" applyBorder="1">
      <alignment/>
      <protection/>
    </xf>
    <xf numFmtId="2" fontId="3" fillId="0" borderId="20" xfId="33" applyNumberFormat="1" applyFill="1" applyBorder="1" applyAlignment="1">
      <alignment horizontal="right"/>
      <protection/>
    </xf>
    <xf numFmtId="0" fontId="3" fillId="0" borderId="13" xfId="33" applyFill="1" applyBorder="1">
      <alignment/>
      <protection/>
    </xf>
    <xf numFmtId="0" fontId="3" fillId="0" borderId="54" xfId="33" applyFill="1" applyBorder="1" applyAlignment="1">
      <alignment horizontal="center"/>
      <protection/>
    </xf>
    <xf numFmtId="10" fontId="3" fillId="0" borderId="40" xfId="33" applyNumberFormat="1" applyBorder="1" applyAlignment="1">
      <alignment horizontal="right"/>
      <protection/>
    </xf>
    <xf numFmtId="10" fontId="1" fillId="0" borderId="95" xfId="33" applyNumberFormat="1" applyFont="1" applyBorder="1">
      <alignment/>
      <protection/>
    </xf>
    <xf numFmtId="0" fontId="9" fillId="0" borderId="0" xfId="0" applyFont="1" applyBorder="1" applyAlignment="1">
      <alignment horizontal="left"/>
    </xf>
    <xf numFmtId="0" fontId="1" fillId="0" borderId="0" xfId="33" applyFont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center"/>
    </xf>
    <xf numFmtId="165" fontId="3" fillId="0" borderId="62" xfId="33" applyNumberFormat="1" applyBorder="1">
      <alignment/>
      <protection/>
    </xf>
    <xf numFmtId="0" fontId="1" fillId="0" borderId="35" xfId="33" applyFont="1" applyBorder="1" applyAlignment="1">
      <alignment horizontal="center"/>
      <protection/>
    </xf>
    <xf numFmtId="0" fontId="1" fillId="0" borderId="57" xfId="33" applyFont="1" applyBorder="1" applyAlignment="1">
      <alignment horizontal="center"/>
      <protection/>
    </xf>
    <xf numFmtId="165" fontId="3" fillId="0" borderId="0" xfId="33" applyNumberFormat="1" applyBorder="1">
      <alignment/>
      <protection/>
    </xf>
    <xf numFmtId="0" fontId="3" fillId="0" borderId="76" xfId="33" applyFont="1" applyFill="1" applyBorder="1">
      <alignment/>
      <protection/>
    </xf>
    <xf numFmtId="0" fontId="3" fillId="0" borderId="25" xfId="33" applyFont="1" applyFill="1" applyBorder="1" applyAlignment="1">
      <alignment horizontal="center"/>
      <protection/>
    </xf>
    <xf numFmtId="0" fontId="1" fillId="33" borderId="0" xfId="33" applyFont="1" applyFill="1" applyBorder="1">
      <alignment/>
      <protection/>
    </xf>
    <xf numFmtId="0" fontId="1" fillId="33" borderId="0" xfId="33" applyFont="1" applyFill="1" applyBorder="1" applyAlignment="1">
      <alignment horizontal="center"/>
      <protection/>
    </xf>
    <xf numFmtId="2" fontId="1" fillId="33" borderId="0" xfId="33" applyNumberFormat="1" applyFont="1" applyFill="1" applyBorder="1" applyAlignment="1">
      <alignment horizontal="right"/>
      <protection/>
    </xf>
    <xf numFmtId="0" fontId="1" fillId="33" borderId="0" xfId="33" applyFont="1" applyFill="1" applyBorder="1" applyAlignment="1">
      <alignment horizontal="right"/>
      <protection/>
    </xf>
    <xf numFmtId="10" fontId="3" fillId="0" borderId="0" xfId="33" applyNumberFormat="1" applyBorder="1" applyAlignment="1">
      <alignment horizontal="right"/>
      <protection/>
    </xf>
    <xf numFmtId="2" fontId="0" fillId="0" borderId="2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 horizontal="right"/>
    </xf>
    <xf numFmtId="2" fontId="0" fillId="0" borderId="2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5" xfId="0" applyNumberFormat="1" applyBorder="1" applyAlignment="1">
      <alignment/>
    </xf>
    <xf numFmtId="0" fontId="1" fillId="0" borderId="30" xfId="33" applyFont="1" applyBorder="1">
      <alignment/>
      <protection/>
    </xf>
    <xf numFmtId="0" fontId="1" fillId="0" borderId="15" xfId="33" applyFont="1" applyBorder="1">
      <alignment/>
      <protection/>
    </xf>
    <xf numFmtId="164" fontId="1" fillId="0" borderId="16" xfId="33" applyNumberFormat="1" applyFont="1" applyBorder="1">
      <alignment/>
      <protection/>
    </xf>
    <xf numFmtId="0" fontId="1" fillId="0" borderId="16" xfId="33" applyFont="1" applyBorder="1">
      <alignment/>
      <protection/>
    </xf>
    <xf numFmtId="0" fontId="3" fillId="0" borderId="73" xfId="0" applyFont="1" applyBorder="1" applyAlignment="1">
      <alignment/>
    </xf>
    <xf numFmtId="16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40" xfId="0" applyBorder="1" applyAlignment="1">
      <alignment/>
    </xf>
    <xf numFmtId="0" fontId="6" fillId="0" borderId="0" xfId="33" applyFont="1" applyFill="1" applyBorder="1">
      <alignment/>
      <protection/>
    </xf>
    <xf numFmtId="0" fontId="1" fillId="33" borderId="61" xfId="33" applyFont="1" applyFill="1" applyBorder="1">
      <alignment/>
      <protection/>
    </xf>
    <xf numFmtId="0" fontId="1" fillId="33" borderId="62" xfId="33" applyFont="1" applyFill="1" applyBorder="1">
      <alignment/>
      <protection/>
    </xf>
    <xf numFmtId="0" fontId="1" fillId="33" borderId="62" xfId="33" applyFont="1" applyFill="1" applyBorder="1" applyAlignment="1">
      <alignment horizontal="center"/>
      <protection/>
    </xf>
    <xf numFmtId="2" fontId="1" fillId="33" borderId="62" xfId="33" applyNumberFormat="1" applyFont="1" applyFill="1" applyBorder="1" applyAlignment="1">
      <alignment horizontal="right"/>
      <protection/>
    </xf>
    <xf numFmtId="0" fontId="1" fillId="33" borderId="63" xfId="33" applyFont="1" applyFill="1" applyBorder="1" applyAlignment="1">
      <alignment horizontal="right"/>
      <protection/>
    </xf>
    <xf numFmtId="10" fontId="3" fillId="0" borderId="65" xfId="33" applyNumberFormat="1" applyBorder="1" applyAlignment="1">
      <alignment horizontal="right"/>
      <protection/>
    </xf>
    <xf numFmtId="2" fontId="6" fillId="34" borderId="13" xfId="33" applyNumberFormat="1" applyFont="1" applyFill="1" applyBorder="1" applyAlignment="1">
      <alignment/>
      <protection/>
    </xf>
    <xf numFmtId="2" fontId="1" fillId="0" borderId="66" xfId="0" applyNumberFormat="1" applyFont="1" applyBorder="1" applyAlignment="1">
      <alignment horizontal="center"/>
    </xf>
    <xf numFmtId="2" fontId="1" fillId="0" borderId="99" xfId="0" applyNumberFormat="1" applyFont="1" applyBorder="1" applyAlignment="1">
      <alignment horizontal="center" wrapText="1"/>
    </xf>
    <xf numFmtId="2" fontId="1" fillId="0" borderId="10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35" xfId="0" applyNumberFormat="1" applyFont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6" fillId="0" borderId="7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9" fontId="6" fillId="0" borderId="28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0" fontId="6" fillId="0" borderId="28" xfId="0" applyNumberFormat="1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33" borderId="41" xfId="0" applyFont="1" applyFill="1" applyBorder="1" applyAlignment="1">
      <alignment horizontal="left"/>
    </xf>
    <xf numFmtId="0" fontId="6" fillId="33" borderId="42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9" fontId="6" fillId="33" borderId="42" xfId="0" applyNumberFormat="1" applyFont="1" applyFill="1" applyBorder="1" applyAlignment="1">
      <alignment horizontal="center"/>
    </xf>
    <xf numFmtId="2" fontId="6" fillId="33" borderId="4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3" fillId="0" borderId="16" xfId="33" applyFont="1" applyBorder="1" applyAlignment="1">
      <alignment horizontal="right"/>
      <protection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10" fontId="6" fillId="33" borderId="41" xfId="0" applyNumberFormat="1" applyFont="1" applyFill="1" applyBorder="1" applyAlignment="1">
      <alignment/>
    </xf>
    <xf numFmtId="2" fontId="6" fillId="33" borderId="101" xfId="0" applyNumberFormat="1" applyFont="1" applyFill="1" applyBorder="1" applyAlignment="1">
      <alignment horizontal="right"/>
    </xf>
    <xf numFmtId="0" fontId="1" fillId="33" borderId="43" xfId="0" applyFont="1" applyFill="1" applyBorder="1" applyAlignment="1">
      <alignment/>
    </xf>
    <xf numFmtId="10" fontId="1" fillId="33" borderId="43" xfId="0" applyNumberFormat="1" applyFont="1" applyFill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0" xfId="33" applyFont="1" applyFill="1" applyBorder="1" applyAlignment="1">
      <alignment horizontal="left"/>
      <protection/>
    </xf>
    <xf numFmtId="0" fontId="1" fillId="0" borderId="0" xfId="33" applyFont="1" applyFill="1" applyBorder="1" applyAlignment="1">
      <alignment horizontal="left" vertical="center" wrapText="1"/>
      <protection/>
    </xf>
    <xf numFmtId="0" fontId="1" fillId="0" borderId="54" xfId="33" applyFont="1" applyFill="1" applyBorder="1" applyAlignment="1">
      <alignment horizontal="center"/>
      <protection/>
    </xf>
    <xf numFmtId="164" fontId="3" fillId="0" borderId="0" xfId="33" applyNumberFormat="1" applyFill="1" applyBorder="1" applyAlignment="1">
      <alignment horizontal="right"/>
      <protection/>
    </xf>
    <xf numFmtId="0" fontId="3" fillId="0" borderId="31" xfId="33" applyFont="1" applyFill="1" applyBorder="1" applyAlignment="1">
      <alignment horizontal="left"/>
      <protection/>
    </xf>
    <xf numFmtId="0" fontId="3" fillId="0" borderId="32" xfId="33" applyFont="1" applyFill="1" applyBorder="1" applyAlignment="1">
      <alignment horizontal="left"/>
      <protection/>
    </xf>
    <xf numFmtId="164" fontId="3" fillId="0" borderId="12" xfId="33" applyNumberFormat="1" applyFont="1" applyFill="1" applyBorder="1">
      <alignment/>
      <protection/>
    </xf>
    <xf numFmtId="0" fontId="3" fillId="0" borderId="12" xfId="33" applyFont="1" applyFill="1" applyBorder="1">
      <alignment/>
      <protection/>
    </xf>
    <xf numFmtId="0" fontId="1" fillId="0" borderId="53" xfId="33" applyFont="1" applyFill="1" applyBorder="1" applyAlignment="1">
      <alignment horizontal="center"/>
      <protection/>
    </xf>
    <xf numFmtId="0" fontId="3" fillId="0" borderId="47" xfId="33" applyFont="1" applyFill="1" applyBorder="1">
      <alignment/>
      <protection/>
    </xf>
    <xf numFmtId="164" fontId="3" fillId="0" borderId="82" xfId="0" applyNumberFormat="1" applyFont="1" applyBorder="1" applyAlignment="1">
      <alignment/>
    </xf>
    <xf numFmtId="0" fontId="3" fillId="0" borderId="82" xfId="0" applyFont="1" applyBorder="1" applyAlignment="1">
      <alignment/>
    </xf>
    <xf numFmtId="2" fontId="3" fillId="0" borderId="8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39" xfId="0" applyNumberFormat="1" applyFont="1" applyBorder="1" applyAlignment="1">
      <alignment horizontal="right"/>
    </xf>
    <xf numFmtId="0" fontId="3" fillId="0" borderId="56" xfId="33" applyFont="1" applyFill="1" applyBorder="1">
      <alignment/>
      <protection/>
    </xf>
    <xf numFmtId="0" fontId="3" fillId="0" borderId="35" xfId="33" applyFont="1" applyFill="1" applyBorder="1" applyAlignment="1">
      <alignment horizontal="center"/>
      <protection/>
    </xf>
    <xf numFmtId="164" fontId="3" fillId="0" borderId="62" xfId="33" applyNumberFormat="1" applyFill="1" applyBorder="1">
      <alignment/>
      <protection/>
    </xf>
    <xf numFmtId="0" fontId="3" fillId="0" borderId="62" xfId="33" applyFill="1" applyBorder="1">
      <alignment/>
      <protection/>
    </xf>
    <xf numFmtId="2" fontId="3" fillId="0" borderId="62" xfId="33" applyNumberFormat="1" applyFill="1" applyBorder="1" applyAlignment="1">
      <alignment horizontal="right"/>
      <protection/>
    </xf>
    <xf numFmtId="0" fontId="0" fillId="0" borderId="62" xfId="0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33" borderId="43" xfId="0" applyFont="1" applyFill="1" applyBorder="1" applyAlignment="1">
      <alignment/>
    </xf>
    <xf numFmtId="10" fontId="0" fillId="0" borderId="0" xfId="0" applyNumberFormat="1" applyBorder="1" applyAlignment="1">
      <alignment horizontal="right"/>
    </xf>
    <xf numFmtId="0" fontId="1" fillId="0" borderId="30" xfId="33" applyFont="1" applyFill="1" applyBorder="1" applyAlignment="1">
      <alignment horizontal="left"/>
      <protection/>
    </xf>
    <xf numFmtId="0" fontId="1" fillId="0" borderId="38" xfId="33" applyFont="1" applyBorder="1" applyAlignment="1">
      <alignment horizontal="center"/>
      <protection/>
    </xf>
    <xf numFmtId="164" fontId="3" fillId="0" borderId="38" xfId="33" applyNumberFormat="1" applyBorder="1">
      <alignment/>
      <protection/>
    </xf>
    <xf numFmtId="0" fontId="3" fillId="0" borderId="38" xfId="33" applyBorder="1">
      <alignment/>
      <protection/>
    </xf>
    <xf numFmtId="2" fontId="3" fillId="0" borderId="38" xfId="33" applyNumberFormat="1" applyBorder="1" applyAlignment="1">
      <alignment horizontal="right"/>
      <protection/>
    </xf>
    <xf numFmtId="2" fontId="1" fillId="0" borderId="38" xfId="33" applyNumberFormat="1" applyFont="1" applyBorder="1" applyAlignment="1">
      <alignment horizontal="right"/>
      <protection/>
    </xf>
    <xf numFmtId="2" fontId="3" fillId="0" borderId="16" xfId="0" applyNumberFormat="1" applyFont="1" applyBorder="1" applyAlignment="1">
      <alignment horizontal="right"/>
    </xf>
    <xf numFmtId="0" fontId="0" fillId="0" borderId="56" xfId="0" applyBorder="1" applyAlignment="1">
      <alignment/>
    </xf>
    <xf numFmtId="0" fontId="6" fillId="0" borderId="41" xfId="0" applyFont="1" applyBorder="1" applyAlignment="1">
      <alignment/>
    </xf>
    <xf numFmtId="10" fontId="6" fillId="0" borderId="42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7" fillId="0" borderId="42" xfId="0" applyFont="1" applyBorder="1" applyAlignment="1">
      <alignment/>
    </xf>
    <xf numFmtId="2" fontId="7" fillId="0" borderId="42" xfId="0" applyNumberFormat="1" applyFont="1" applyBorder="1" applyAlignment="1">
      <alignment horizontal="right"/>
    </xf>
    <xf numFmtId="2" fontId="6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33" borderId="61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0" fontId="6" fillId="33" borderId="62" xfId="0" applyFont="1" applyFill="1" applyBorder="1" applyAlignment="1">
      <alignment horizontal="center"/>
    </xf>
    <xf numFmtId="2" fontId="6" fillId="33" borderId="62" xfId="0" applyNumberFormat="1" applyFont="1" applyFill="1" applyBorder="1" applyAlignment="1">
      <alignment horizontal="right"/>
    </xf>
    <xf numFmtId="0" fontId="6" fillId="33" borderId="63" xfId="0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10" fontId="0" fillId="0" borderId="65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10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9" fontId="1" fillId="0" borderId="14" xfId="0" applyNumberFormat="1" applyFont="1" applyBorder="1" applyAlignment="1">
      <alignment horizontal="right"/>
    </xf>
    <xf numFmtId="0" fontId="3" fillId="0" borderId="81" xfId="33" applyBorder="1" applyAlignment="1">
      <alignment horizontal="right"/>
      <protection/>
    </xf>
    <xf numFmtId="0" fontId="3" fillId="0" borderId="82" xfId="0" applyFont="1" applyBorder="1" applyAlignment="1">
      <alignment horizontal="right"/>
    </xf>
    <xf numFmtId="0" fontId="3" fillId="0" borderId="85" xfId="0" applyFont="1" applyBorder="1" applyAlignment="1">
      <alignment horizontal="right"/>
    </xf>
    <xf numFmtId="0" fontId="3" fillId="0" borderId="41" xfId="33" applyFont="1" applyBorder="1">
      <alignment/>
      <protection/>
    </xf>
    <xf numFmtId="0" fontId="3" fillId="0" borderId="42" xfId="33" applyBorder="1">
      <alignment/>
      <protection/>
    </xf>
    <xf numFmtId="164" fontId="3" fillId="0" borderId="71" xfId="33" applyNumberFormat="1" applyBorder="1">
      <alignment/>
      <protection/>
    </xf>
    <xf numFmtId="0" fontId="3" fillId="0" borderId="71" xfId="33" applyBorder="1">
      <alignment/>
      <protection/>
    </xf>
    <xf numFmtId="0" fontId="0" fillId="0" borderId="71" xfId="0" applyBorder="1" applyAlignment="1">
      <alignment horizontal="right"/>
    </xf>
    <xf numFmtId="0" fontId="0" fillId="0" borderId="94" xfId="0" applyBorder="1" applyAlignment="1">
      <alignment horizontal="right"/>
    </xf>
    <xf numFmtId="0" fontId="3" fillId="0" borderId="68" xfId="33" applyFont="1" applyFill="1" applyBorder="1">
      <alignment/>
      <protection/>
    </xf>
    <xf numFmtId="0" fontId="3" fillId="0" borderId="69" xfId="33" applyFill="1" applyBorder="1">
      <alignment/>
      <protection/>
    </xf>
    <xf numFmtId="0" fontId="3" fillId="0" borderId="70" xfId="33" applyFill="1" applyBorder="1" applyAlignment="1">
      <alignment horizontal="center"/>
      <protection/>
    </xf>
    <xf numFmtId="164" fontId="3" fillId="0" borderId="74" xfId="33" applyNumberFormat="1" applyFill="1" applyBorder="1" applyAlignment="1">
      <alignment horizontal="right"/>
      <protection/>
    </xf>
    <xf numFmtId="0" fontId="3" fillId="0" borderId="62" xfId="33" applyFill="1" applyBorder="1" applyAlignment="1">
      <alignment horizontal="right"/>
      <protection/>
    </xf>
    <xf numFmtId="0" fontId="6" fillId="0" borderId="95" xfId="33" applyFont="1" applyBorder="1" applyAlignment="1">
      <alignment horizontal="left"/>
      <protection/>
    </xf>
    <xf numFmtId="0" fontId="6" fillId="0" borderId="86" xfId="33" applyFont="1" applyBorder="1" applyAlignment="1">
      <alignment horizontal="left"/>
      <protection/>
    </xf>
    <xf numFmtId="0" fontId="6" fillId="0" borderId="86" xfId="33" applyFont="1" applyBorder="1" applyAlignment="1">
      <alignment horizontal="center"/>
      <protection/>
    </xf>
    <xf numFmtId="9" fontId="6" fillId="0" borderId="86" xfId="33" applyNumberFormat="1" applyFont="1" applyBorder="1" applyAlignment="1">
      <alignment horizontal="center"/>
      <protection/>
    </xf>
    <xf numFmtId="2" fontId="6" fillId="0" borderId="86" xfId="33" applyNumberFormat="1" applyFont="1" applyBorder="1" applyAlignment="1">
      <alignment horizontal="right"/>
      <protection/>
    </xf>
    <xf numFmtId="0" fontId="6" fillId="0" borderId="86" xfId="33" applyFont="1" applyBorder="1" applyAlignment="1">
      <alignment horizontal="right"/>
      <protection/>
    </xf>
    <xf numFmtId="10" fontId="6" fillId="0" borderId="86" xfId="33" applyNumberFormat="1" applyFont="1" applyBorder="1" applyAlignment="1">
      <alignment horizontal="right"/>
      <protection/>
    </xf>
    <xf numFmtId="0" fontId="6" fillId="0" borderId="87" xfId="33" applyFont="1" applyBorder="1" applyAlignment="1">
      <alignment horizontal="right"/>
      <protection/>
    </xf>
    <xf numFmtId="0" fontId="6" fillId="33" borderId="41" xfId="33" applyFont="1" applyFill="1" applyBorder="1" applyAlignment="1">
      <alignment horizontal="left"/>
      <protection/>
    </xf>
    <xf numFmtId="0" fontId="6" fillId="33" borderId="42" xfId="33" applyFont="1" applyFill="1" applyBorder="1">
      <alignment/>
      <protection/>
    </xf>
    <xf numFmtId="0" fontId="6" fillId="33" borderId="42" xfId="33" applyFont="1" applyFill="1" applyBorder="1" applyAlignment="1">
      <alignment horizontal="left"/>
      <protection/>
    </xf>
    <xf numFmtId="0" fontId="6" fillId="33" borderId="42" xfId="33" applyFont="1" applyFill="1" applyBorder="1" applyAlignment="1">
      <alignment horizontal="center"/>
      <protection/>
    </xf>
    <xf numFmtId="9" fontId="6" fillId="33" borderId="42" xfId="33" applyNumberFormat="1" applyFont="1" applyFill="1" applyBorder="1" applyAlignment="1">
      <alignment horizontal="center"/>
      <protection/>
    </xf>
    <xf numFmtId="2" fontId="6" fillId="33" borderId="42" xfId="33" applyNumberFormat="1" applyFont="1" applyFill="1" applyBorder="1" applyAlignment="1">
      <alignment horizontal="right"/>
      <protection/>
    </xf>
    <xf numFmtId="0" fontId="6" fillId="33" borderId="43" xfId="33" applyFont="1" applyFill="1" applyBorder="1" applyAlignment="1">
      <alignment horizontal="right"/>
      <protection/>
    </xf>
    <xf numFmtId="2" fontId="3" fillId="0" borderId="28" xfId="0" applyNumberFormat="1" applyFont="1" applyFill="1" applyBorder="1" applyAlignment="1">
      <alignment horizontal="right"/>
    </xf>
    <xf numFmtId="10" fontId="1" fillId="0" borderId="29" xfId="0" applyNumberFormat="1" applyFont="1" applyFill="1" applyBorder="1" applyAlignment="1">
      <alignment horizontal="right"/>
    </xf>
    <xf numFmtId="0" fontId="3" fillId="0" borderId="102" xfId="0" applyFont="1" applyFill="1" applyBorder="1" applyAlignment="1">
      <alignment/>
    </xf>
    <xf numFmtId="2" fontId="1" fillId="0" borderId="35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7" fillId="0" borderId="0" xfId="33" applyNumberFormat="1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0" fontId="6" fillId="0" borderId="0" xfId="33" applyNumberFormat="1" applyFont="1" applyBorder="1" applyAlignment="1">
      <alignment horizontal="center"/>
      <protection/>
    </xf>
    <xf numFmtId="10" fontId="6" fillId="33" borderId="0" xfId="33" applyNumberFormat="1" applyFont="1" applyFill="1" applyBorder="1">
      <alignment/>
      <protection/>
    </xf>
    <xf numFmtId="0" fontId="6" fillId="33" borderId="0" xfId="33" applyFont="1" applyFill="1" applyBorder="1">
      <alignment/>
      <protection/>
    </xf>
    <xf numFmtId="0" fontId="6" fillId="33" borderId="0" xfId="33" applyFont="1" applyFill="1" applyBorder="1" applyAlignment="1">
      <alignment horizontal="center"/>
      <protection/>
    </xf>
    <xf numFmtId="2" fontId="6" fillId="33" borderId="0" xfId="33" applyNumberFormat="1" applyFont="1" applyFill="1" applyBorder="1" applyAlignment="1">
      <alignment horizontal="right"/>
      <protection/>
    </xf>
    <xf numFmtId="1" fontId="6" fillId="33" borderId="0" xfId="33" applyNumberFormat="1" applyFont="1" applyFill="1" applyBorder="1" applyAlignment="1">
      <alignment horizontal="center"/>
      <protection/>
    </xf>
    <xf numFmtId="9" fontId="3" fillId="0" borderId="0" xfId="33" applyNumberFormat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5" xfId="0" applyFont="1" applyFill="1" applyBorder="1" applyAlignment="1">
      <alignment horizontal="center"/>
    </xf>
    <xf numFmtId="0" fontId="3" fillId="0" borderId="103" xfId="33" applyFont="1" applyBorder="1">
      <alignment/>
      <protection/>
    </xf>
    <xf numFmtId="0" fontId="3" fillId="0" borderId="104" xfId="33" applyFont="1" applyBorder="1">
      <alignment/>
      <protection/>
    </xf>
    <xf numFmtId="0" fontId="3" fillId="0" borderId="104" xfId="33" applyFont="1" applyBorder="1" applyAlignment="1">
      <alignment horizontal="center"/>
      <protection/>
    </xf>
    <xf numFmtId="0" fontId="3" fillId="0" borderId="104" xfId="33" applyBorder="1">
      <alignment/>
      <protection/>
    </xf>
    <xf numFmtId="2" fontId="3" fillId="0" borderId="104" xfId="33" applyNumberFormat="1" applyBorder="1" applyAlignment="1">
      <alignment horizontal="right"/>
      <protection/>
    </xf>
    <xf numFmtId="0" fontId="3" fillId="0" borderId="104" xfId="33" applyBorder="1" applyAlignment="1">
      <alignment horizontal="center"/>
      <protection/>
    </xf>
    <xf numFmtId="0" fontId="3" fillId="0" borderId="105" xfId="33" applyBorder="1" applyAlignment="1">
      <alignment horizontal="center"/>
      <protection/>
    </xf>
    <xf numFmtId="0" fontId="6" fillId="0" borderId="46" xfId="33" applyFont="1" applyBorder="1" applyAlignment="1">
      <alignment horizontal="center"/>
      <protection/>
    </xf>
    <xf numFmtId="10" fontId="6" fillId="33" borderId="68" xfId="33" applyNumberFormat="1" applyFont="1" applyFill="1" applyBorder="1">
      <alignment/>
      <protection/>
    </xf>
    <xf numFmtId="0" fontId="6" fillId="33" borderId="69" xfId="33" applyFont="1" applyFill="1" applyBorder="1">
      <alignment/>
      <protection/>
    </xf>
    <xf numFmtId="0" fontId="6" fillId="33" borderId="69" xfId="33" applyFont="1" applyFill="1" applyBorder="1" applyAlignment="1">
      <alignment horizontal="center"/>
      <protection/>
    </xf>
    <xf numFmtId="2" fontId="6" fillId="33" borderId="69" xfId="33" applyNumberFormat="1" applyFont="1" applyFill="1" applyBorder="1" applyAlignment="1">
      <alignment horizontal="right"/>
      <protection/>
    </xf>
    <xf numFmtId="0" fontId="6" fillId="33" borderId="57" xfId="33" applyFont="1" applyFill="1" applyBorder="1" applyAlignment="1">
      <alignment horizontal="right"/>
      <protection/>
    </xf>
    <xf numFmtId="0" fontId="3" fillId="0" borderId="60" xfId="33" applyBorder="1" applyAlignment="1">
      <alignment horizontal="right"/>
      <protection/>
    </xf>
    <xf numFmtId="0" fontId="6" fillId="0" borderId="40" xfId="33" applyFont="1" applyBorder="1" applyAlignment="1">
      <alignment horizontal="center"/>
      <protection/>
    </xf>
    <xf numFmtId="0" fontId="3" fillId="0" borderId="62" xfId="33" applyBorder="1" applyAlignment="1">
      <alignment horizontal="center"/>
      <protection/>
    </xf>
    <xf numFmtId="10" fontId="1" fillId="0" borderId="63" xfId="33" applyNumberFormat="1" applyFont="1" applyBorder="1" applyAlignment="1">
      <alignment horizontal="center"/>
      <protection/>
    </xf>
    <xf numFmtId="0" fontId="1" fillId="0" borderId="27" xfId="33" applyFont="1" applyBorder="1">
      <alignment/>
      <protection/>
    </xf>
    <xf numFmtId="9" fontId="3" fillId="0" borderId="106" xfId="33" applyNumberFormat="1" applyBorder="1" applyAlignment="1">
      <alignment horizontal="center"/>
      <protection/>
    </xf>
    <xf numFmtId="164" fontId="6" fillId="33" borderId="28" xfId="33" applyNumberFormat="1" applyFont="1" applyFill="1" applyBorder="1">
      <alignment/>
      <protection/>
    </xf>
    <xf numFmtId="0" fontId="6" fillId="33" borderId="28" xfId="33" applyFont="1" applyFill="1" applyBorder="1">
      <alignment/>
      <protection/>
    </xf>
    <xf numFmtId="2" fontId="6" fillId="33" borderId="28" xfId="33" applyNumberFormat="1" applyFont="1" applyFill="1" applyBorder="1" applyAlignment="1">
      <alignment horizontal="right"/>
      <protection/>
    </xf>
    <xf numFmtId="0" fontId="6" fillId="33" borderId="29" xfId="33" applyFont="1" applyFill="1" applyBorder="1">
      <alignment/>
      <protection/>
    </xf>
    <xf numFmtId="0" fontId="6" fillId="34" borderId="27" xfId="33" applyFont="1" applyFill="1" applyBorder="1">
      <alignment/>
      <protection/>
    </xf>
    <xf numFmtId="10" fontId="7" fillId="34" borderId="106" xfId="33" applyNumberFormat="1" applyFont="1" applyFill="1" applyBorder="1" applyAlignment="1">
      <alignment horizontal="center"/>
      <protection/>
    </xf>
    <xf numFmtId="9" fontId="1" fillId="0" borderId="106" xfId="33" applyNumberFormat="1" applyFont="1" applyBorder="1" applyAlignment="1">
      <alignment horizontal="center"/>
      <protection/>
    </xf>
    <xf numFmtId="0" fontId="1" fillId="33" borderId="68" xfId="33" applyFont="1" applyFill="1" applyBorder="1">
      <alignment/>
      <protection/>
    </xf>
    <xf numFmtId="9" fontId="1" fillId="33" borderId="69" xfId="33" applyNumberFormat="1" applyFont="1" applyFill="1" applyBorder="1">
      <alignment/>
      <protection/>
    </xf>
    <xf numFmtId="169" fontId="1" fillId="33" borderId="77" xfId="33" applyNumberFormat="1" applyFont="1" applyFill="1" applyBorder="1">
      <alignment/>
      <protection/>
    </xf>
    <xf numFmtId="0" fontId="1" fillId="0" borderId="18" xfId="33" applyFont="1" applyBorder="1" applyAlignment="1">
      <alignment horizontal="left"/>
      <protection/>
    </xf>
    <xf numFmtId="10" fontId="1" fillId="0" borderId="40" xfId="33" applyNumberFormat="1" applyFont="1" applyBorder="1" applyAlignment="1">
      <alignment horizontal="right"/>
      <protection/>
    </xf>
    <xf numFmtId="0" fontId="7" fillId="0" borderId="0" xfId="33" applyFont="1">
      <alignment/>
      <protection/>
    </xf>
    <xf numFmtId="1" fontId="1" fillId="33" borderId="43" xfId="33" applyNumberFormat="1" applyFont="1" applyFill="1" applyBorder="1" applyAlignment="1">
      <alignment horizontal="center"/>
      <protection/>
    </xf>
    <xf numFmtId="0" fontId="3" fillId="0" borderId="0" xfId="33" applyFill="1">
      <alignment/>
      <protection/>
    </xf>
    <xf numFmtId="0" fontId="3" fillId="0" borderId="0" xfId="33" applyFont="1" applyFill="1">
      <alignment/>
      <protection/>
    </xf>
    <xf numFmtId="2" fontId="3" fillId="0" borderId="81" xfId="33" applyNumberFormat="1" applyFont="1" applyFill="1" applyBorder="1" applyAlignment="1">
      <alignment horizontal="right"/>
      <protection/>
    </xf>
    <xf numFmtId="0" fontId="3" fillId="0" borderId="33" xfId="33" applyFill="1" applyBorder="1">
      <alignment/>
      <protection/>
    </xf>
    <xf numFmtId="164" fontId="3" fillId="0" borderId="33" xfId="33" applyNumberFormat="1" applyFill="1" applyBorder="1">
      <alignment/>
      <protection/>
    </xf>
    <xf numFmtId="2" fontId="3" fillId="0" borderId="33" xfId="33" applyNumberFormat="1" applyFill="1" applyBorder="1" applyAlignment="1">
      <alignment horizontal="right"/>
      <protection/>
    </xf>
    <xf numFmtId="2" fontId="3" fillId="0" borderId="33" xfId="33" applyNumberFormat="1" applyFont="1" applyFill="1" applyBorder="1" applyAlignment="1">
      <alignment horizontal="right"/>
      <protection/>
    </xf>
    <xf numFmtId="0" fontId="3" fillId="0" borderId="52" xfId="33" applyFill="1" applyBorder="1" applyAlignment="1">
      <alignment horizontal="right"/>
      <protection/>
    </xf>
    <xf numFmtId="0" fontId="3" fillId="0" borderId="60" xfId="33" applyFont="1" applyFill="1" applyBorder="1" applyAlignment="1">
      <alignment horizontal="right"/>
      <protection/>
    </xf>
    <xf numFmtId="0" fontId="3" fillId="0" borderId="54" xfId="0" applyFont="1" applyFill="1" applyBorder="1" applyAlignment="1">
      <alignment horizontal="center"/>
    </xf>
    <xf numFmtId="164" fontId="3" fillId="0" borderId="28" xfId="33" applyNumberFormat="1" applyFill="1" applyBorder="1" applyAlignment="1">
      <alignment horizontal="center"/>
      <protection/>
    </xf>
    <xf numFmtId="2" fontId="3" fillId="0" borderId="28" xfId="33" applyNumberFormat="1" applyFill="1" applyBorder="1">
      <alignment/>
      <protection/>
    </xf>
    <xf numFmtId="2" fontId="3" fillId="0" borderId="16" xfId="33" applyNumberFormat="1" applyFont="1" applyBorder="1" applyAlignment="1">
      <alignment horizontal="right"/>
      <protection/>
    </xf>
    <xf numFmtId="0" fontId="1" fillId="0" borderId="107" xfId="33" applyFont="1" applyBorder="1">
      <alignment/>
      <protection/>
    </xf>
    <xf numFmtId="0" fontId="1" fillId="0" borderId="38" xfId="33" applyFont="1" applyBorder="1">
      <alignment/>
      <protection/>
    </xf>
    <xf numFmtId="164" fontId="3" fillId="0" borderId="38" xfId="33" applyNumberFormat="1" applyFont="1" applyBorder="1">
      <alignment/>
      <protection/>
    </xf>
    <xf numFmtId="0" fontId="3" fillId="0" borderId="38" xfId="33" applyFont="1" applyBorder="1">
      <alignment/>
      <protection/>
    </xf>
    <xf numFmtId="2" fontId="3" fillId="0" borderId="38" xfId="33" applyNumberFormat="1" applyFont="1" applyBorder="1" applyAlignment="1">
      <alignment horizontal="right"/>
      <protection/>
    </xf>
    <xf numFmtId="0" fontId="7" fillId="0" borderId="41" xfId="33" applyFont="1" applyBorder="1">
      <alignment/>
      <protection/>
    </xf>
    <xf numFmtId="0" fontId="7" fillId="0" borderId="42" xfId="33" applyFont="1" applyBorder="1">
      <alignment/>
      <protection/>
    </xf>
    <xf numFmtId="0" fontId="6" fillId="0" borderId="42" xfId="33" applyFont="1" applyBorder="1">
      <alignment/>
      <protection/>
    </xf>
    <xf numFmtId="2" fontId="6" fillId="0" borderId="42" xfId="33" applyNumberFormat="1" applyFont="1" applyBorder="1" applyAlignment="1">
      <alignment horizontal="right"/>
      <protection/>
    </xf>
    <xf numFmtId="0" fontId="6" fillId="0" borderId="42" xfId="33" applyFont="1" applyBorder="1" applyAlignment="1">
      <alignment horizontal="right"/>
      <protection/>
    </xf>
    <xf numFmtId="0" fontId="7" fillId="0" borderId="42" xfId="33" applyFont="1" applyBorder="1" applyAlignment="1">
      <alignment horizontal="right"/>
      <protection/>
    </xf>
    <xf numFmtId="0" fontId="6" fillId="0" borderId="43" xfId="33" applyFont="1" applyBorder="1" applyAlignment="1">
      <alignment horizontal="right"/>
      <protection/>
    </xf>
    <xf numFmtId="16" fontId="0" fillId="0" borderId="35" xfId="0" applyNumberFormat="1" applyBorder="1" applyAlignment="1">
      <alignment horizontal="center"/>
    </xf>
    <xf numFmtId="165" fontId="0" fillId="0" borderId="35" xfId="0" applyNumberFormat="1" applyBorder="1" applyAlignment="1">
      <alignment/>
    </xf>
    <xf numFmtId="2" fontId="3" fillId="0" borderId="35" xfId="0" applyNumberFormat="1" applyFont="1" applyBorder="1" applyAlignment="1">
      <alignment horizontal="right"/>
    </xf>
    <xf numFmtId="0" fontId="1" fillId="0" borderId="0" xfId="33" applyFont="1" applyFill="1">
      <alignment/>
      <protection/>
    </xf>
    <xf numFmtId="0" fontId="6" fillId="0" borderId="18" xfId="33" applyFont="1" applyFill="1" applyBorder="1">
      <alignment/>
      <protection/>
    </xf>
    <xf numFmtId="10" fontId="6" fillId="0" borderId="0" xfId="33" applyNumberFormat="1" applyFont="1" applyFill="1" applyBorder="1">
      <alignment/>
      <protection/>
    </xf>
    <xf numFmtId="0" fontId="7" fillId="0" borderId="0" xfId="33" applyFont="1" applyFill="1" applyBorder="1">
      <alignment/>
      <protection/>
    </xf>
    <xf numFmtId="2" fontId="7" fillId="0" borderId="0" xfId="33" applyNumberFormat="1" applyFont="1" applyFill="1" applyBorder="1" applyAlignment="1">
      <alignment horizontal="right"/>
      <protection/>
    </xf>
    <xf numFmtId="2" fontId="6" fillId="0" borderId="0" xfId="33" applyNumberFormat="1" applyFont="1" applyFill="1" applyBorder="1" applyAlignment="1">
      <alignment horizontal="right"/>
      <protection/>
    </xf>
    <xf numFmtId="0" fontId="7" fillId="0" borderId="0" xfId="33" applyFont="1" applyFill="1" applyBorder="1" applyAlignment="1">
      <alignment horizontal="center"/>
      <protection/>
    </xf>
    <xf numFmtId="0" fontId="6" fillId="0" borderId="40" xfId="33" applyFont="1" applyFill="1" applyBorder="1" applyAlignment="1">
      <alignment horizontal="center"/>
      <protection/>
    </xf>
    <xf numFmtId="0" fontId="1" fillId="33" borderId="63" xfId="33" applyFont="1" applyFill="1" applyBorder="1">
      <alignment/>
      <protection/>
    </xf>
    <xf numFmtId="0" fontId="1" fillId="0" borderId="107" xfId="0" applyFont="1" applyBorder="1" applyAlignment="1">
      <alignment/>
    </xf>
    <xf numFmtId="0" fontId="1" fillId="0" borderId="38" xfId="0" applyFont="1" applyBorder="1" applyAlignment="1">
      <alignment/>
    </xf>
    <xf numFmtId="10" fontId="1" fillId="0" borderId="48" xfId="0" applyNumberFormat="1" applyFont="1" applyBorder="1" applyAlignment="1">
      <alignment horizontal="right"/>
    </xf>
    <xf numFmtId="0" fontId="5" fillId="33" borderId="66" xfId="33" applyFont="1" applyFill="1" applyBorder="1">
      <alignment/>
      <protection/>
    </xf>
    <xf numFmtId="9" fontId="5" fillId="33" borderId="13" xfId="33" applyNumberFormat="1" applyFont="1" applyFill="1" applyBorder="1">
      <alignment/>
      <protection/>
    </xf>
    <xf numFmtId="0" fontId="5" fillId="33" borderId="13" xfId="33" applyFont="1" applyFill="1" applyBorder="1">
      <alignment/>
      <protection/>
    </xf>
    <xf numFmtId="2" fontId="5" fillId="33" borderId="13" xfId="33" applyNumberFormat="1" applyFont="1" applyFill="1" applyBorder="1" applyAlignment="1">
      <alignment horizontal="right"/>
      <protection/>
    </xf>
    <xf numFmtId="0" fontId="5" fillId="33" borderId="13" xfId="33" applyFont="1" applyFill="1" applyBorder="1" applyAlignment="1">
      <alignment horizontal="right"/>
      <protection/>
    </xf>
    <xf numFmtId="0" fontId="9" fillId="0" borderId="0" xfId="33" applyFont="1" applyBorder="1">
      <alignment/>
      <protection/>
    </xf>
    <xf numFmtId="0" fontId="6" fillId="0" borderId="0" xfId="33" applyFont="1">
      <alignment/>
      <protection/>
    </xf>
    <xf numFmtId="2" fontId="1" fillId="0" borderId="0" xfId="33" applyNumberFormat="1" applyFont="1">
      <alignment/>
      <protection/>
    </xf>
    <xf numFmtId="0" fontId="1" fillId="34" borderId="95" xfId="33" applyFont="1" applyFill="1" applyBorder="1">
      <alignment/>
      <protection/>
    </xf>
    <xf numFmtId="0" fontId="1" fillId="34" borderId="86" xfId="33" applyFont="1" applyFill="1" applyBorder="1">
      <alignment/>
      <protection/>
    </xf>
    <xf numFmtId="2" fontId="1" fillId="34" borderId="87" xfId="33" applyNumberFormat="1" applyFont="1" applyFill="1" applyBorder="1">
      <alignment/>
      <protection/>
    </xf>
    <xf numFmtId="0" fontId="1" fillId="34" borderId="18" xfId="33" applyFont="1" applyFill="1" applyBorder="1">
      <alignment/>
      <protection/>
    </xf>
    <xf numFmtId="0" fontId="1" fillId="34" borderId="0" xfId="33" applyFont="1" applyFill="1" applyBorder="1">
      <alignment/>
      <protection/>
    </xf>
    <xf numFmtId="0" fontId="1" fillId="34" borderId="40" xfId="33" applyFont="1" applyFill="1" applyBorder="1">
      <alignment/>
      <protection/>
    </xf>
    <xf numFmtId="0" fontId="1" fillId="34" borderId="41" xfId="33" applyFont="1" applyFill="1" applyBorder="1">
      <alignment/>
      <protection/>
    </xf>
    <xf numFmtId="0" fontId="1" fillId="34" borderId="42" xfId="33" applyFont="1" applyFill="1" applyBorder="1">
      <alignment/>
      <protection/>
    </xf>
    <xf numFmtId="2" fontId="1" fillId="34" borderId="43" xfId="33" applyNumberFormat="1" applyFont="1" applyFill="1" applyBorder="1">
      <alignment/>
      <protection/>
    </xf>
    <xf numFmtId="0" fontId="3" fillId="0" borderId="0" xfId="33" applyFont="1">
      <alignment/>
      <protection/>
    </xf>
    <xf numFmtId="0" fontId="15" fillId="0" borderId="0" xfId="33" applyFont="1" applyBorder="1">
      <alignment/>
      <protection/>
    </xf>
    <xf numFmtId="0" fontId="16" fillId="0" borderId="0" xfId="33" applyFont="1" applyBorder="1" applyAlignment="1">
      <alignment horizontal="left" vertical="center"/>
      <protection/>
    </xf>
    <xf numFmtId="0" fontId="15" fillId="0" borderId="0" xfId="33" applyFont="1">
      <alignment/>
      <protection/>
    </xf>
    <xf numFmtId="0" fontId="15" fillId="0" borderId="0" xfId="33" applyFont="1" applyBorder="1" applyAlignment="1">
      <alignment horizontal="left" vertical="center"/>
      <protection/>
    </xf>
    <xf numFmtId="0" fontId="3" fillId="0" borderId="0" xfId="33" applyBorder="1" applyAlignment="1">
      <alignment horizontal="left" vertical="center"/>
      <protection/>
    </xf>
    <xf numFmtId="0" fontId="2" fillId="0" borderId="100" xfId="33" applyFont="1" applyBorder="1" applyAlignment="1">
      <alignment horizontal="center"/>
      <protection/>
    </xf>
    <xf numFmtId="2" fontId="2" fillId="0" borderId="14" xfId="33" applyNumberFormat="1" applyFont="1" applyBorder="1" applyAlignment="1">
      <alignment vertical="center"/>
      <protection/>
    </xf>
    <xf numFmtId="0" fontId="2" fillId="0" borderId="11" xfId="33" applyFont="1" applyBorder="1" applyAlignment="1">
      <alignment vertical="center"/>
      <protection/>
    </xf>
    <xf numFmtId="2" fontId="2" fillId="0" borderId="11" xfId="33" applyNumberFormat="1" applyFont="1" applyBorder="1" applyAlignment="1">
      <alignment vertical="center"/>
      <protection/>
    </xf>
    <xf numFmtId="0" fontId="2" fillId="0" borderId="11" xfId="33" applyFont="1" applyBorder="1" applyAlignment="1">
      <alignment horizontal="right"/>
      <protection/>
    </xf>
    <xf numFmtId="2" fontId="2" fillId="0" borderId="11" xfId="33" applyNumberFormat="1" applyFont="1" applyBorder="1" applyAlignment="1">
      <alignment horizontal="left" vertical="center"/>
      <protection/>
    </xf>
    <xf numFmtId="0" fontId="2" fillId="0" borderId="67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vertical="center"/>
      <protection/>
    </xf>
    <xf numFmtId="0" fontId="2" fillId="0" borderId="11" xfId="33" applyFont="1" applyBorder="1" applyAlignment="1">
      <alignment horizontal="left" vertical="center"/>
      <protection/>
    </xf>
    <xf numFmtId="0" fontId="2" fillId="0" borderId="11" xfId="33" applyFont="1" applyBorder="1" applyAlignment="1">
      <alignment horizontal="right" vertical="center"/>
      <protection/>
    </xf>
    <xf numFmtId="0" fontId="2" fillId="0" borderId="11" xfId="33" applyFont="1" applyBorder="1" applyAlignment="1">
      <alignment horizontal="center" vertical="center"/>
      <protection/>
    </xf>
    <xf numFmtId="2" fontId="6" fillId="0" borderId="14" xfId="33" applyNumberFormat="1" applyFon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 horizontal="right"/>
      <protection/>
    </xf>
    <xf numFmtId="0" fontId="6" fillId="0" borderId="11" xfId="33" applyFont="1" applyBorder="1" applyAlignment="1">
      <alignment horizontal="left" vertical="center"/>
      <protection/>
    </xf>
    <xf numFmtId="0" fontId="16" fillId="0" borderId="67" xfId="33" applyFont="1" applyBorder="1" applyAlignment="1">
      <alignment horizontal="center" vertical="center"/>
      <protection/>
    </xf>
    <xf numFmtId="0" fontId="6" fillId="0" borderId="100" xfId="33" applyFont="1" applyBorder="1" applyAlignment="1">
      <alignment horizontal="center"/>
      <protection/>
    </xf>
    <xf numFmtId="2" fontId="6" fillId="0" borderId="11" xfId="33" applyNumberFormat="1" applyFont="1" applyBorder="1" applyAlignment="1">
      <alignment horizontal="center"/>
      <protection/>
    </xf>
    <xf numFmtId="0" fontId="6" fillId="0" borderId="108" xfId="33" applyFont="1" applyBorder="1">
      <alignment/>
      <protection/>
    </xf>
    <xf numFmtId="0" fontId="3" fillId="0" borderId="74" xfId="33" applyBorder="1">
      <alignment/>
      <protection/>
    </xf>
    <xf numFmtId="0" fontId="3" fillId="0" borderId="42" xfId="33" applyFont="1" applyBorder="1">
      <alignment/>
      <protection/>
    </xf>
    <xf numFmtId="0" fontId="3" fillId="0" borderId="62" xfId="33" applyBorder="1" applyAlignment="1">
      <alignment horizontal="left" vertical="center"/>
      <protection/>
    </xf>
    <xf numFmtId="0" fontId="3" fillId="0" borderId="63" xfId="33" applyBorder="1" applyAlignment="1">
      <alignment horizontal="center" vertical="center"/>
      <protection/>
    </xf>
    <xf numFmtId="0" fontId="2" fillId="0" borderId="0" xfId="33" applyFont="1" applyBorder="1">
      <alignment/>
      <protection/>
    </xf>
    <xf numFmtId="0" fontId="3" fillId="0" borderId="0" xfId="33" applyBorder="1" applyAlignment="1">
      <alignment horizontal="center" vertical="center"/>
      <protection/>
    </xf>
    <xf numFmtId="0" fontId="1" fillId="0" borderId="89" xfId="0" applyFont="1" applyBorder="1" applyAlignment="1">
      <alignment horizontal="center"/>
    </xf>
    <xf numFmtId="0" fontId="0" fillId="0" borderId="89" xfId="0" applyNumberForma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8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164" fontId="0" fillId="0" borderId="109" xfId="0" applyNumberFormat="1" applyBorder="1" applyAlignment="1">
      <alignment/>
    </xf>
    <xf numFmtId="164" fontId="0" fillId="0" borderId="1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109" xfId="0" applyNumberFormat="1" applyBorder="1" applyAlignment="1">
      <alignment horizontal="right" vertical="center"/>
    </xf>
    <xf numFmtId="165" fontId="0" fillId="0" borderId="109" xfId="0" applyNumberFormat="1" applyBorder="1" applyAlignment="1">
      <alignment/>
    </xf>
    <xf numFmtId="0" fontId="3" fillId="0" borderId="102" xfId="0" applyFont="1" applyBorder="1" applyAlignment="1">
      <alignment/>
    </xf>
    <xf numFmtId="164" fontId="3" fillId="0" borderId="35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164" fontId="0" fillId="0" borderId="111" xfId="0" applyNumberFormat="1" applyBorder="1" applyAlignment="1">
      <alignment/>
    </xf>
    <xf numFmtId="165" fontId="3" fillId="0" borderId="0" xfId="0" applyNumberFormat="1" applyFont="1" applyBorder="1" applyAlignment="1">
      <alignment/>
    </xf>
    <xf numFmtId="0" fontId="16" fillId="0" borderId="89" xfId="0" applyFont="1" applyBorder="1" applyAlignment="1">
      <alignment horizontal="center"/>
    </xf>
    <xf numFmtId="0" fontId="6" fillId="0" borderId="89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1" fillId="0" borderId="89" xfId="33" applyFont="1" applyFill="1" applyBorder="1" applyAlignment="1">
      <alignment horizontal="center"/>
      <protection/>
    </xf>
    <xf numFmtId="2" fontId="3" fillId="0" borderId="89" xfId="33" applyNumberFormat="1" applyFill="1" applyBorder="1" applyAlignment="1">
      <alignment horizontal="center"/>
      <protection/>
    </xf>
    <xf numFmtId="2" fontId="1" fillId="0" borderId="89" xfId="33" applyNumberFormat="1" applyFont="1" applyFill="1" applyBorder="1" applyAlignment="1">
      <alignment horizontal="center"/>
      <protection/>
    </xf>
    <xf numFmtId="0" fontId="1" fillId="0" borderId="19" xfId="33" applyFont="1" applyFill="1" applyBorder="1" applyAlignment="1">
      <alignment horizontal="center"/>
      <protection/>
    </xf>
    <xf numFmtId="2" fontId="3" fillId="0" borderId="20" xfId="33" applyNumberFormat="1" applyFont="1" applyFill="1" applyBorder="1" applyAlignment="1">
      <alignment horizontal="right"/>
      <protection/>
    </xf>
    <xf numFmtId="0" fontId="3" fillId="0" borderId="28" xfId="33" applyBorder="1" applyAlignment="1">
      <alignment horizontal="center"/>
      <protection/>
    </xf>
    <xf numFmtId="0" fontId="3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right"/>
    </xf>
    <xf numFmtId="2" fontId="3" fillId="0" borderId="89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9" fontId="1" fillId="0" borderId="42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right"/>
    </xf>
    <xf numFmtId="2" fontId="16" fillId="0" borderId="42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3" fillId="0" borderId="0" xfId="33" applyFill="1" applyBorder="1" applyAlignment="1">
      <alignment/>
      <protection/>
    </xf>
    <xf numFmtId="0" fontId="3" fillId="0" borderId="0" xfId="33" applyBorder="1" applyAlignment="1">
      <alignment/>
      <protection/>
    </xf>
    <xf numFmtId="0" fontId="3" fillId="0" borderId="59" xfId="33" applyBorder="1">
      <alignment/>
      <protection/>
    </xf>
    <xf numFmtId="0" fontId="1" fillId="0" borderId="51" xfId="33" applyFont="1" applyBorder="1" applyAlignment="1">
      <alignment horizontal="center"/>
      <protection/>
    </xf>
    <xf numFmtId="0" fontId="0" fillId="0" borderId="89" xfId="0" applyBorder="1" applyAlignment="1">
      <alignment/>
    </xf>
    <xf numFmtId="0" fontId="3" fillId="0" borderId="95" xfId="0" applyFont="1" applyBorder="1" applyAlignment="1">
      <alignment/>
    </xf>
    <xf numFmtId="0" fontId="3" fillId="0" borderId="86" xfId="0" applyFont="1" applyBorder="1" applyAlignment="1">
      <alignment/>
    </xf>
    <xf numFmtId="164" fontId="0" fillId="0" borderId="112" xfId="0" applyNumberFormat="1" applyBorder="1" applyAlignment="1">
      <alignment/>
    </xf>
    <xf numFmtId="0" fontId="0" fillId="0" borderId="112" xfId="0" applyBorder="1" applyAlignment="1">
      <alignment/>
    </xf>
    <xf numFmtId="2" fontId="0" fillId="0" borderId="112" xfId="0" applyNumberFormat="1" applyBorder="1" applyAlignment="1">
      <alignment horizontal="right"/>
    </xf>
    <xf numFmtId="0" fontId="0" fillId="0" borderId="112" xfId="0" applyBorder="1" applyAlignment="1">
      <alignment horizontal="right"/>
    </xf>
    <xf numFmtId="0" fontId="0" fillId="0" borderId="113" xfId="0" applyBorder="1" applyAlignment="1">
      <alignment horizontal="right"/>
    </xf>
    <xf numFmtId="0" fontId="3" fillId="0" borderId="6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0" fillId="0" borderId="69" xfId="0" applyFill="1" applyBorder="1" applyAlignment="1">
      <alignment/>
    </xf>
    <xf numFmtId="164" fontId="0" fillId="0" borderId="62" xfId="0" applyNumberFormat="1" applyFill="1" applyBorder="1" applyAlignment="1">
      <alignment/>
    </xf>
    <xf numFmtId="0" fontId="0" fillId="0" borderId="62" xfId="0" applyFill="1" applyBorder="1" applyAlignment="1">
      <alignment/>
    </xf>
    <xf numFmtId="2" fontId="0" fillId="0" borderId="62" xfId="0" applyNumberFormat="1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94" xfId="0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4" fontId="3" fillId="0" borderId="28" xfId="33" applyNumberFormat="1" applyFont="1" applyBorder="1">
      <alignment/>
      <protection/>
    </xf>
    <xf numFmtId="0" fontId="3" fillId="0" borderId="28" xfId="33" applyBorder="1" applyAlignment="1">
      <alignment/>
      <protection/>
    </xf>
    <xf numFmtId="164" fontId="0" fillId="0" borderId="28" xfId="0" applyNumberFormat="1" applyFill="1" applyBorder="1" applyAlignment="1">
      <alignment horizontal="center"/>
    </xf>
    <xf numFmtId="167" fontId="0" fillId="0" borderId="28" xfId="0" applyNumberFormat="1" applyFill="1" applyBorder="1" applyAlignment="1">
      <alignment horizontal="right"/>
    </xf>
    <xf numFmtId="1" fontId="0" fillId="0" borderId="28" xfId="0" applyNumberFormat="1" applyFill="1" applyBorder="1" applyAlignment="1">
      <alignment horizontal="right"/>
    </xf>
    <xf numFmtId="0" fontId="1" fillId="0" borderId="39" xfId="33" applyFont="1" applyBorder="1" applyAlignment="1">
      <alignment horizontal="right"/>
      <protection/>
    </xf>
    <xf numFmtId="0" fontId="3" fillId="0" borderId="59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164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164" fontId="3" fillId="0" borderId="81" xfId="33" applyNumberFormat="1" applyFill="1" applyBorder="1">
      <alignment/>
      <protection/>
    </xf>
    <xf numFmtId="0" fontId="3" fillId="0" borderId="82" xfId="33" applyFill="1" applyBorder="1">
      <alignment/>
      <protection/>
    </xf>
    <xf numFmtId="0" fontId="3" fillId="0" borderId="62" xfId="0" applyFont="1" applyFill="1" applyBorder="1" applyAlignment="1">
      <alignment/>
    </xf>
    <xf numFmtId="164" fontId="0" fillId="0" borderId="114" xfId="0" applyNumberFormat="1" applyFill="1" applyBorder="1" applyAlignment="1">
      <alignment/>
    </xf>
    <xf numFmtId="0" fontId="0" fillId="0" borderId="75" xfId="0" applyFill="1" applyBorder="1" applyAlignment="1">
      <alignment/>
    </xf>
    <xf numFmtId="2" fontId="0" fillId="0" borderId="75" xfId="0" applyNumberFormat="1" applyFill="1" applyBorder="1" applyAlignment="1">
      <alignment horizontal="right"/>
    </xf>
    <xf numFmtId="0" fontId="4" fillId="0" borderId="75" xfId="0" applyFont="1" applyFill="1" applyBorder="1" applyAlignment="1">
      <alignment horizontal="right"/>
    </xf>
    <xf numFmtId="0" fontId="3" fillId="0" borderId="57" xfId="33" applyBorder="1" applyAlignment="1">
      <alignment horizontal="right"/>
      <protection/>
    </xf>
    <xf numFmtId="0" fontId="1" fillId="0" borderId="31" xfId="33" applyFont="1" applyBorder="1">
      <alignment/>
      <protection/>
    </xf>
    <xf numFmtId="0" fontId="1" fillId="0" borderId="32" xfId="33" applyFont="1" applyBorder="1">
      <alignment/>
      <protection/>
    </xf>
    <xf numFmtId="1" fontId="1" fillId="0" borderId="28" xfId="33" applyNumberFormat="1" applyFont="1" applyBorder="1" applyAlignment="1">
      <alignment horizontal="center"/>
      <protection/>
    </xf>
    <xf numFmtId="2" fontId="3" fillId="0" borderId="115" xfId="33" applyNumberFormat="1" applyBorder="1" applyAlignment="1">
      <alignment horizontal="right"/>
      <protection/>
    </xf>
    <xf numFmtId="0" fontId="3" fillId="0" borderId="16" xfId="33" applyBorder="1" applyAlignment="1">
      <alignment horizontal="right"/>
      <protection/>
    </xf>
    <xf numFmtId="0" fontId="3" fillId="0" borderId="73" xfId="33" applyFont="1" applyBorder="1">
      <alignment/>
      <protection/>
    </xf>
    <xf numFmtId="165" fontId="3" fillId="0" borderId="28" xfId="33" applyNumberFormat="1" applyBorder="1">
      <alignment/>
      <protection/>
    </xf>
    <xf numFmtId="2" fontId="3" fillId="0" borderId="0" xfId="33" applyNumberFormat="1" applyBorder="1">
      <alignment/>
      <protection/>
    </xf>
    <xf numFmtId="0" fontId="3" fillId="0" borderId="69" xfId="33" applyFont="1" applyFill="1" applyBorder="1">
      <alignment/>
      <protection/>
    </xf>
    <xf numFmtId="0" fontId="3" fillId="0" borderId="70" xfId="33" applyFont="1" applyFill="1" applyBorder="1" applyAlignment="1">
      <alignment horizontal="center"/>
      <protection/>
    </xf>
    <xf numFmtId="164" fontId="3" fillId="0" borderId="62" xfId="33" applyNumberFormat="1" applyFill="1" applyBorder="1" applyAlignment="1">
      <alignment horizontal="right"/>
      <protection/>
    </xf>
    <xf numFmtId="2" fontId="3" fillId="0" borderId="62" xfId="33" applyNumberFormat="1" applyFont="1" applyFill="1" applyBorder="1" applyAlignment="1">
      <alignment horizontal="right"/>
      <protection/>
    </xf>
    <xf numFmtId="0" fontId="3" fillId="0" borderId="0" xfId="33" applyFill="1" applyAlignment="1">
      <alignment horizontal="center"/>
      <protection/>
    </xf>
    <xf numFmtId="0" fontId="1" fillId="0" borderId="0" xfId="33" applyFont="1" applyFill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1" fillId="0" borderId="53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70" xfId="0" applyFont="1" applyBorder="1" applyAlignment="1">
      <alignment/>
    </xf>
    <xf numFmtId="164" fontId="0" fillId="0" borderId="62" xfId="0" applyNumberFormat="1" applyBorder="1" applyAlignment="1">
      <alignment horizontal="right"/>
    </xf>
    <xf numFmtId="2" fontId="3" fillId="0" borderId="71" xfId="0" applyNumberFormat="1" applyFont="1" applyBorder="1" applyAlignment="1">
      <alignment horizontal="right"/>
    </xf>
    <xf numFmtId="0" fontId="6" fillId="33" borderId="42" xfId="0" applyFont="1" applyFill="1" applyBorder="1" applyAlignment="1">
      <alignment horizontal="right"/>
    </xf>
    <xf numFmtId="2" fontId="1" fillId="0" borderId="28" xfId="33" applyNumberFormat="1" applyFont="1" applyBorder="1" applyAlignment="1">
      <alignment horizontal="right"/>
      <protection/>
    </xf>
    <xf numFmtId="0" fontId="3" fillId="0" borderId="59" xfId="33" applyFont="1" applyFill="1" applyBorder="1">
      <alignment/>
      <protection/>
    </xf>
    <xf numFmtId="0" fontId="3" fillId="0" borderId="33" xfId="33" applyFont="1" applyFill="1" applyBorder="1" applyAlignment="1">
      <alignment horizontal="center"/>
      <protection/>
    </xf>
    <xf numFmtId="164" fontId="0" fillId="0" borderId="33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38" xfId="33" applyFont="1" applyFill="1" applyBorder="1" applyAlignment="1">
      <alignment horizontal="right"/>
      <protection/>
    </xf>
    <xf numFmtId="0" fontId="1" fillId="0" borderId="39" xfId="33" applyFont="1" applyFill="1" applyBorder="1" applyAlignment="1">
      <alignment horizontal="right"/>
      <protection/>
    </xf>
    <xf numFmtId="2" fontId="6" fillId="36" borderId="13" xfId="33" applyNumberFormat="1" applyFont="1" applyFill="1" applyBorder="1" applyAlignment="1">
      <alignment horizontal="right"/>
      <protection/>
    </xf>
    <xf numFmtId="0" fontId="7" fillId="36" borderId="13" xfId="33" applyFont="1" applyFill="1" applyBorder="1" applyAlignment="1">
      <alignment horizontal="right"/>
      <protection/>
    </xf>
    <xf numFmtId="164" fontId="0" fillId="0" borderId="109" xfId="0" applyNumberFormat="1" applyFill="1" applyBorder="1" applyAlignment="1">
      <alignment/>
    </xf>
    <xf numFmtId="0" fontId="17" fillId="0" borderId="28" xfId="0" applyFont="1" applyBorder="1" applyAlignment="1">
      <alignment/>
    </xf>
    <xf numFmtId="0" fontId="18" fillId="0" borderId="0" xfId="0" applyFont="1" applyAlignment="1">
      <alignment/>
    </xf>
    <xf numFmtId="0" fontId="2" fillId="0" borderId="0" xfId="33" applyFont="1" applyFill="1" applyBorder="1" applyAlignment="1">
      <alignment horizontal="center"/>
      <protection/>
    </xf>
    <xf numFmtId="0" fontId="6" fillId="0" borderId="17" xfId="33" applyFont="1" applyFill="1" applyBorder="1" applyAlignment="1">
      <alignment horizontal="center"/>
      <protection/>
    </xf>
    <xf numFmtId="0" fontId="11" fillId="0" borderId="31" xfId="33" applyFont="1" applyFill="1" applyBorder="1">
      <alignment/>
      <protection/>
    </xf>
    <xf numFmtId="0" fontId="11" fillId="0" borderId="32" xfId="33" applyFont="1" applyFill="1" applyBorder="1">
      <alignment/>
      <protection/>
    </xf>
    <xf numFmtId="0" fontId="11" fillId="0" borderId="47" xfId="33" applyFont="1" applyFill="1" applyBorder="1">
      <alignment/>
      <protection/>
    </xf>
    <xf numFmtId="0" fontId="11" fillId="0" borderId="28" xfId="33" applyFont="1" applyFill="1" applyBorder="1">
      <alignment/>
      <protection/>
    </xf>
    <xf numFmtId="164" fontId="11" fillId="0" borderId="28" xfId="33" applyNumberFormat="1" applyFont="1" applyFill="1" applyBorder="1" applyAlignment="1">
      <alignment horizontal="right"/>
      <protection/>
    </xf>
    <xf numFmtId="0" fontId="11" fillId="0" borderId="28" xfId="33" applyFont="1" applyFill="1" applyBorder="1" applyAlignment="1">
      <alignment horizontal="right"/>
      <protection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4" fontId="11" fillId="0" borderId="28" xfId="33" applyNumberFormat="1" applyFont="1" applyFill="1" applyBorder="1">
      <alignment/>
      <protection/>
    </xf>
    <xf numFmtId="0" fontId="18" fillId="0" borderId="28" xfId="0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1" fontId="11" fillId="0" borderId="28" xfId="33" applyNumberFormat="1" applyFont="1" applyFill="1" applyBorder="1">
      <alignment/>
      <protection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4" fontId="20" fillId="0" borderId="28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18" fillId="0" borderId="37" xfId="0" applyFont="1" applyBorder="1" applyAlignment="1">
      <alignment/>
    </xf>
    <xf numFmtId="0" fontId="18" fillId="0" borderId="30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37" xfId="33" applyFont="1" applyBorder="1" applyAlignment="1">
      <alignment horizontal="right"/>
      <protection/>
    </xf>
    <xf numFmtId="0" fontId="3" fillId="0" borderId="33" xfId="33" applyFont="1" applyBorder="1">
      <alignment/>
      <protection/>
    </xf>
    <xf numFmtId="0" fontId="3" fillId="0" borderId="35" xfId="33" applyFont="1" applyBorder="1">
      <alignment/>
      <protection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45" xfId="0" applyFont="1" applyFill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164" fontId="0" fillId="0" borderId="11" xfId="0" applyNumberForma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18" fillId="0" borderId="38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" fillId="0" borderId="1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Border="1" applyAlignment="1">
      <alignment/>
    </xf>
    <xf numFmtId="0" fontId="3" fillId="0" borderId="30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37" xfId="33" applyFont="1" applyBorder="1">
      <alignment/>
      <protection/>
    </xf>
    <xf numFmtId="0" fontId="7" fillId="0" borderId="30" xfId="33" applyFont="1" applyBorder="1">
      <alignment/>
      <protection/>
    </xf>
    <xf numFmtId="0" fontId="7" fillId="0" borderId="117" xfId="33" applyFont="1" applyBorder="1">
      <alignment/>
      <protection/>
    </xf>
    <xf numFmtId="0" fontId="6" fillId="0" borderId="38" xfId="33" applyFont="1" applyBorder="1">
      <alignment/>
      <protection/>
    </xf>
    <xf numFmtId="0" fontId="7" fillId="0" borderId="31" xfId="33" applyFont="1" applyBorder="1">
      <alignment/>
      <protection/>
    </xf>
    <xf numFmtId="0" fontId="7" fillId="0" borderId="32" xfId="33" applyFont="1" applyBorder="1">
      <alignment/>
      <protection/>
    </xf>
    <xf numFmtId="0" fontId="7" fillId="0" borderId="47" xfId="33" applyFont="1" applyBorder="1">
      <alignment/>
      <protection/>
    </xf>
    <xf numFmtId="0" fontId="7" fillId="0" borderId="28" xfId="33" applyFont="1" applyBorder="1">
      <alignment/>
      <protection/>
    </xf>
    <xf numFmtId="164" fontId="7" fillId="0" borderId="28" xfId="33" applyNumberFormat="1" applyFont="1" applyBorder="1">
      <alignment/>
      <protection/>
    </xf>
    <xf numFmtId="0" fontId="7" fillId="0" borderId="55" xfId="33" applyFont="1" applyBorder="1">
      <alignment/>
      <protection/>
    </xf>
    <xf numFmtId="0" fontId="7" fillId="0" borderId="56" xfId="33" applyFont="1" applyBorder="1">
      <alignment/>
      <protection/>
    </xf>
    <xf numFmtId="0" fontId="7" fillId="0" borderId="118" xfId="33" applyFont="1" applyBorder="1">
      <alignment/>
      <protection/>
    </xf>
    <xf numFmtId="0" fontId="7" fillId="0" borderId="35" xfId="33" applyFont="1" applyBorder="1">
      <alignment/>
      <protection/>
    </xf>
    <xf numFmtId="164" fontId="7" fillId="0" borderId="35" xfId="33" applyNumberFormat="1" applyFont="1" applyBorder="1">
      <alignment/>
      <protection/>
    </xf>
    <xf numFmtId="0" fontId="0" fillId="0" borderId="57" xfId="0" applyBorder="1" applyAlignment="1">
      <alignment/>
    </xf>
    <xf numFmtId="0" fontId="6" fillId="0" borderId="0" xfId="0" applyFont="1" applyAlignment="1">
      <alignment/>
    </xf>
    <xf numFmtId="16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" fontId="0" fillId="0" borderId="28" xfId="0" applyNumberFormat="1" applyBorder="1" applyAlignment="1">
      <alignment/>
    </xf>
    <xf numFmtId="0" fontId="0" fillId="0" borderId="78" xfId="0" applyBorder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4" xfId="33" applyFont="1" applyBorder="1">
      <alignment/>
      <protection/>
    </xf>
    <xf numFmtId="0" fontId="3" fillId="0" borderId="45" xfId="33" applyFont="1" applyBorder="1">
      <alignment/>
      <protection/>
    </xf>
    <xf numFmtId="0" fontId="3" fillId="0" borderId="65" xfId="33" applyFont="1" applyBorder="1">
      <alignment/>
      <protection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107" xfId="33" applyFont="1" applyBorder="1" applyAlignment="1">
      <alignment horizontal="left"/>
      <protection/>
    </xf>
    <xf numFmtId="0" fontId="1" fillId="0" borderId="38" xfId="33" applyFont="1" applyBorder="1" applyAlignment="1">
      <alignment horizontal="left"/>
      <protection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164" fontId="7" fillId="0" borderId="0" xfId="33" applyNumberFormat="1" applyFont="1" applyBorder="1">
      <alignment/>
      <protection/>
    </xf>
    <xf numFmtId="0" fontId="6" fillId="0" borderId="16" xfId="33" applyFont="1" applyBorder="1" applyAlignment="1">
      <alignment horizontal="center"/>
      <protection/>
    </xf>
    <xf numFmtId="164" fontId="7" fillId="0" borderId="52" xfId="33" applyNumberFormat="1" applyFont="1" applyBorder="1" applyAlignment="1">
      <alignment horizontal="right"/>
      <protection/>
    </xf>
    <xf numFmtId="0" fontId="7" fillId="0" borderId="52" xfId="33" applyFont="1" applyBorder="1" applyAlignment="1">
      <alignment horizontal="right"/>
      <protection/>
    </xf>
    <xf numFmtId="0" fontId="18" fillId="0" borderId="12" xfId="0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164" fontId="7" fillId="0" borderId="11" xfId="33" applyNumberFormat="1" applyFont="1" applyBorder="1" applyAlignment="1">
      <alignment horizontal="right"/>
      <protection/>
    </xf>
    <xf numFmtId="0" fontId="7" fillId="0" borderId="11" xfId="33" applyFont="1" applyBorder="1" applyAlignment="1">
      <alignment horizontal="right"/>
      <protection/>
    </xf>
    <xf numFmtId="0" fontId="21" fillId="0" borderId="25" xfId="0" applyFont="1" applyFill="1" applyBorder="1" applyAlignment="1">
      <alignment horizontal="right"/>
    </xf>
    <xf numFmtId="0" fontId="21" fillId="0" borderId="26" xfId="0" applyFont="1" applyFill="1" applyBorder="1" applyAlignment="1">
      <alignment horizontal="right"/>
    </xf>
    <xf numFmtId="0" fontId="7" fillId="0" borderId="31" xfId="33" applyFont="1" applyBorder="1" applyAlignment="1">
      <alignment horizontal="left"/>
      <protection/>
    </xf>
    <xf numFmtId="0" fontId="7" fillId="0" borderId="32" xfId="33" applyFont="1" applyBorder="1" applyAlignment="1">
      <alignment horizontal="left"/>
      <protection/>
    </xf>
    <xf numFmtId="164" fontId="7" fillId="0" borderId="12" xfId="33" applyNumberFormat="1" applyFont="1" applyBorder="1">
      <alignment/>
      <protection/>
    </xf>
    <xf numFmtId="0" fontId="7" fillId="0" borderId="12" xfId="33" applyFont="1" applyBorder="1">
      <alignment/>
      <protection/>
    </xf>
    <xf numFmtId="0" fontId="7" fillId="0" borderId="28" xfId="33" applyFont="1" applyBorder="1" applyAlignment="1">
      <alignment horizontal="right"/>
      <protection/>
    </xf>
    <xf numFmtId="0" fontId="7" fillId="0" borderId="29" xfId="33" applyFont="1" applyBorder="1" applyAlignment="1">
      <alignment horizontal="right"/>
      <protection/>
    </xf>
    <xf numFmtId="164" fontId="7" fillId="0" borderId="28" xfId="33" applyNumberFormat="1" applyFont="1" applyBorder="1" applyAlignment="1">
      <alignment horizontal="right"/>
      <protection/>
    </xf>
    <xf numFmtId="0" fontId="7" fillId="0" borderId="27" xfId="33" applyFont="1" applyBorder="1">
      <alignment/>
      <protection/>
    </xf>
    <xf numFmtId="0" fontId="7" fillId="0" borderId="68" xfId="33" applyFont="1" applyBorder="1">
      <alignment/>
      <protection/>
    </xf>
    <xf numFmtId="0" fontId="7" fillId="0" borderId="69" xfId="33" applyFont="1" applyBorder="1">
      <alignment/>
      <protection/>
    </xf>
    <xf numFmtId="0" fontId="7" fillId="0" borderId="28" xfId="33" applyFont="1" applyFill="1" applyBorder="1" applyAlignment="1">
      <alignment horizontal="right"/>
      <protection/>
    </xf>
    <xf numFmtId="0" fontId="7" fillId="0" borderId="29" xfId="33" applyFont="1" applyFill="1" applyBorder="1" applyAlignment="1">
      <alignment horizontal="right"/>
      <protection/>
    </xf>
    <xf numFmtId="0" fontId="7" fillId="0" borderId="10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64" fontId="0" fillId="0" borderId="89" xfId="0" applyNumberFormat="1" applyBorder="1" applyAlignment="1">
      <alignment/>
    </xf>
    <xf numFmtId="0" fontId="8" fillId="0" borderId="89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16" xfId="33" applyFont="1" applyBorder="1" applyAlignment="1">
      <alignment horizontal="center"/>
      <protection/>
    </xf>
    <xf numFmtId="0" fontId="23" fillId="0" borderId="17" xfId="33" applyFont="1" applyFill="1" applyBorder="1" applyAlignment="1">
      <alignment horizontal="center"/>
      <protection/>
    </xf>
    <xf numFmtId="0" fontId="0" fillId="0" borderId="31" xfId="33" applyFont="1" applyBorder="1">
      <alignment/>
      <protection/>
    </xf>
    <xf numFmtId="0" fontId="0" fillId="0" borderId="32" xfId="33" applyFont="1" applyBorder="1">
      <alignment/>
      <protection/>
    </xf>
    <xf numFmtId="0" fontId="0" fillId="0" borderId="28" xfId="33" applyFont="1" applyBorder="1">
      <alignment/>
      <protection/>
    </xf>
    <xf numFmtId="164" fontId="0" fillId="0" borderId="12" xfId="33" applyNumberFormat="1" applyFont="1" applyBorder="1">
      <alignment/>
      <protection/>
    </xf>
    <xf numFmtId="0" fontId="0" fillId="0" borderId="12" xfId="33" applyFont="1" applyBorder="1">
      <alignment/>
      <protection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33" applyFont="1" applyBorder="1" applyAlignment="1">
      <alignment horizontal="right"/>
      <protection/>
    </xf>
    <xf numFmtId="16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28" xfId="33" applyNumberFormat="1" applyFont="1" applyBorder="1">
      <alignment/>
      <protection/>
    </xf>
    <xf numFmtId="1" fontId="0" fillId="0" borderId="28" xfId="33" applyNumberFormat="1" applyFont="1" applyBorder="1">
      <alignment/>
      <protection/>
    </xf>
    <xf numFmtId="0" fontId="0" fillId="0" borderId="41" xfId="33" applyFont="1" applyBorder="1" applyAlignment="1">
      <alignment horizontal="left"/>
      <protection/>
    </xf>
    <xf numFmtId="0" fontId="8" fillId="0" borderId="42" xfId="33" applyFont="1" applyBorder="1" applyAlignment="1">
      <alignment horizontal="left"/>
      <protection/>
    </xf>
    <xf numFmtId="0" fontId="0" fillId="0" borderId="42" xfId="0" applyFont="1" applyBorder="1" applyAlignment="1">
      <alignment/>
    </xf>
    <xf numFmtId="164" fontId="0" fillId="0" borderId="35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89" xfId="0" applyFont="1" applyBorder="1" applyAlignment="1">
      <alignment/>
    </xf>
    <xf numFmtId="164" fontId="0" fillId="0" borderId="89" xfId="0" applyNumberFormat="1" applyFont="1" applyBorder="1" applyAlignment="1">
      <alignment/>
    </xf>
    <xf numFmtId="0" fontId="8" fillId="0" borderId="89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67" xfId="33" applyFill="1" applyBorder="1" applyAlignment="1">
      <alignment horizontal="right"/>
      <protection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2" fontId="1" fillId="0" borderId="16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33" applyFont="1" applyFill="1" applyBorder="1" applyAlignment="1">
      <alignment wrapText="1"/>
      <protection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" fillId="0" borderId="119" xfId="33" applyFont="1" applyFill="1" applyBorder="1">
      <alignment/>
      <protection/>
    </xf>
    <xf numFmtId="0" fontId="3" fillId="0" borderId="119" xfId="33" applyFont="1" applyBorder="1">
      <alignment/>
      <protection/>
    </xf>
    <xf numFmtId="2" fontId="1" fillId="0" borderId="38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7" xfId="0" applyFont="1" applyBorder="1" applyAlignment="1">
      <alignment/>
    </xf>
    <xf numFmtId="0" fontId="3" fillId="0" borderId="41" xfId="33" applyFont="1" applyBorder="1" applyAlignment="1">
      <alignment horizontal="left"/>
      <protection/>
    </xf>
    <xf numFmtId="164" fontId="3" fillId="0" borderId="35" xfId="0" applyNumberFormat="1" applyFont="1" applyBorder="1" applyAlignment="1">
      <alignment horizontal="right"/>
    </xf>
    <xf numFmtId="0" fontId="3" fillId="0" borderId="117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58" xfId="33" applyFont="1" applyBorder="1" applyAlignment="1">
      <alignment horizontal="left"/>
      <protection/>
    </xf>
    <xf numFmtId="0" fontId="3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horizontal="right" wrapText="1"/>
    </xf>
    <xf numFmtId="2" fontId="6" fillId="0" borderId="17" xfId="0" applyNumberFormat="1" applyFont="1" applyBorder="1" applyAlignment="1">
      <alignment horizontal="right"/>
    </xf>
    <xf numFmtId="0" fontId="3" fillId="0" borderId="50" xfId="0" applyFont="1" applyFill="1" applyBorder="1" applyAlignment="1">
      <alignment/>
    </xf>
    <xf numFmtId="0" fontId="0" fillId="0" borderId="48" xfId="0" applyBorder="1" applyAlignment="1">
      <alignment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3" fillId="0" borderId="120" xfId="33" applyFont="1" applyFill="1" applyBorder="1">
      <alignment/>
      <protection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/>
    </xf>
    <xf numFmtId="2" fontId="6" fillId="0" borderId="0" xfId="0" applyNumberFormat="1" applyFont="1" applyBorder="1" applyAlignment="1">
      <alignment horizontal="right" wrapText="1"/>
    </xf>
    <xf numFmtId="0" fontId="6" fillId="0" borderId="107" xfId="0" applyFont="1" applyBorder="1" applyAlignment="1">
      <alignment/>
    </xf>
    <xf numFmtId="0" fontId="6" fillId="0" borderId="38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33" applyFont="1" applyFill="1" applyBorder="1" applyAlignment="1">
      <alignment horizontal="left"/>
      <protection/>
    </xf>
    <xf numFmtId="2" fontId="1" fillId="0" borderId="39" xfId="0" applyNumberFormat="1" applyFont="1" applyBorder="1" applyAlignment="1">
      <alignment horizontal="right"/>
    </xf>
    <xf numFmtId="0" fontId="1" fillId="0" borderId="15" xfId="33" applyFont="1" applyBorder="1" applyAlignment="1">
      <alignment horizontal="right"/>
      <protection/>
    </xf>
    <xf numFmtId="0" fontId="3" fillId="37" borderId="22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8" xfId="0" applyFill="1" applyBorder="1" applyAlignment="1">
      <alignment horizontal="center"/>
    </xf>
    <xf numFmtId="16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5" xfId="0" applyNumberFormat="1" applyFill="1" applyBorder="1" applyAlignment="1">
      <alignment horizontal="right"/>
    </xf>
    <xf numFmtId="2" fontId="0" fillId="37" borderId="11" xfId="0" applyNumberFormat="1" applyFill="1" applyBorder="1" applyAlignment="1">
      <alignment horizontal="right"/>
    </xf>
    <xf numFmtId="0" fontId="0" fillId="37" borderId="20" xfId="0" applyFill="1" applyBorder="1" applyAlignment="1">
      <alignment horizontal="right"/>
    </xf>
    <xf numFmtId="0" fontId="0" fillId="37" borderId="21" xfId="0" applyFill="1" applyBorder="1" applyAlignment="1">
      <alignment horizontal="right"/>
    </xf>
    <xf numFmtId="0" fontId="1" fillId="38" borderId="37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15" xfId="0" applyFill="1" applyBorder="1" applyAlignment="1">
      <alignment/>
    </xf>
    <xf numFmtId="0" fontId="8" fillId="38" borderId="38" xfId="0" applyFont="1" applyFill="1" applyBorder="1" applyAlignment="1">
      <alignment horizontal="center"/>
    </xf>
    <xf numFmtId="164" fontId="0" fillId="38" borderId="16" xfId="0" applyNumberFormat="1" applyFill="1" applyBorder="1" applyAlignment="1">
      <alignment/>
    </xf>
    <xf numFmtId="0" fontId="0" fillId="38" borderId="16" xfId="0" applyFill="1" applyBorder="1" applyAlignment="1">
      <alignment/>
    </xf>
    <xf numFmtId="2" fontId="0" fillId="38" borderId="16" xfId="0" applyNumberFormat="1" applyFill="1" applyBorder="1" applyAlignment="1">
      <alignment horizontal="right"/>
    </xf>
    <xf numFmtId="2" fontId="1" fillId="38" borderId="16" xfId="0" applyNumberFormat="1" applyFont="1" applyFill="1" applyBorder="1" applyAlignment="1">
      <alignment horizontal="right"/>
    </xf>
    <xf numFmtId="0" fontId="1" fillId="38" borderId="38" xfId="33" applyFont="1" applyFill="1" applyBorder="1">
      <alignment/>
      <protection/>
    </xf>
    <xf numFmtId="0" fontId="1" fillId="38" borderId="16" xfId="33" applyFont="1" applyFill="1" applyBorder="1" applyAlignment="1">
      <alignment horizontal="right"/>
      <protection/>
    </xf>
    <xf numFmtId="0" fontId="1" fillId="38" borderId="16" xfId="33" applyFont="1" applyFill="1" applyBorder="1">
      <alignment/>
      <protection/>
    </xf>
    <xf numFmtId="0" fontId="1" fillId="38" borderId="17" xfId="33" applyFont="1" applyFill="1" applyBorder="1" applyAlignment="1">
      <alignment horizontal="right"/>
      <protection/>
    </xf>
    <xf numFmtId="0" fontId="3" fillId="38" borderId="22" xfId="33" applyFont="1" applyFill="1" applyBorder="1">
      <alignment/>
      <protection/>
    </xf>
    <xf numFmtId="0" fontId="3" fillId="38" borderId="23" xfId="33" applyFont="1" applyFill="1" applyBorder="1">
      <alignment/>
      <protection/>
    </xf>
    <xf numFmtId="0" fontId="3" fillId="38" borderId="23" xfId="33" applyFill="1" applyBorder="1">
      <alignment/>
      <protection/>
    </xf>
    <xf numFmtId="0" fontId="3" fillId="38" borderId="78" xfId="33" applyFill="1" applyBorder="1" applyAlignment="1">
      <alignment horizontal="center"/>
      <protection/>
    </xf>
    <xf numFmtId="164" fontId="3" fillId="38" borderId="25" xfId="33" applyNumberFormat="1" applyFill="1" applyBorder="1">
      <alignment/>
      <protection/>
    </xf>
    <xf numFmtId="0" fontId="3" fillId="38" borderId="25" xfId="33" applyFill="1" applyBorder="1">
      <alignment/>
      <protection/>
    </xf>
    <xf numFmtId="2" fontId="3" fillId="38" borderId="25" xfId="33" applyNumberFormat="1" applyFill="1" applyBorder="1" applyAlignment="1">
      <alignment horizontal="right"/>
      <protection/>
    </xf>
    <xf numFmtId="2" fontId="3" fillId="38" borderId="20" xfId="33" applyNumberFormat="1" applyFill="1" applyBorder="1" applyAlignment="1">
      <alignment horizontal="right"/>
      <protection/>
    </xf>
    <xf numFmtId="0" fontId="0" fillId="38" borderId="20" xfId="0" applyFill="1" applyBorder="1" applyAlignment="1">
      <alignment horizontal="right"/>
    </xf>
    <xf numFmtId="0" fontId="0" fillId="38" borderId="21" xfId="0" applyFill="1" applyBorder="1" applyAlignment="1">
      <alignment horizontal="right"/>
    </xf>
    <xf numFmtId="0" fontId="1" fillId="38" borderId="37" xfId="33" applyFont="1" applyFill="1" applyBorder="1">
      <alignment/>
      <protection/>
    </xf>
    <xf numFmtId="0" fontId="1" fillId="38" borderId="30" xfId="33" applyFont="1" applyFill="1" applyBorder="1">
      <alignment/>
      <protection/>
    </xf>
    <xf numFmtId="0" fontId="1" fillId="38" borderId="15" xfId="33" applyFont="1" applyFill="1" applyBorder="1">
      <alignment/>
      <protection/>
    </xf>
    <xf numFmtId="0" fontId="1" fillId="38" borderId="16" xfId="33" applyFont="1" applyFill="1" applyBorder="1" applyAlignment="1">
      <alignment horizontal="center"/>
      <protection/>
    </xf>
    <xf numFmtId="164" fontId="1" fillId="38" borderId="16" xfId="33" applyNumberFormat="1" applyFont="1" applyFill="1" applyBorder="1" applyAlignment="1">
      <alignment horizontal="center"/>
      <protection/>
    </xf>
    <xf numFmtId="2" fontId="1" fillId="38" borderId="16" xfId="33" applyNumberFormat="1" applyFont="1" applyFill="1" applyBorder="1" applyAlignment="1">
      <alignment horizontal="center"/>
      <protection/>
    </xf>
    <xf numFmtId="0" fontId="1" fillId="38" borderId="17" xfId="33" applyFont="1" applyFill="1" applyBorder="1" applyAlignment="1">
      <alignment horizontal="center"/>
      <protection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78" xfId="0" applyFill="1" applyBorder="1" applyAlignment="1">
      <alignment horizontal="center"/>
    </xf>
    <xf numFmtId="164" fontId="0" fillId="38" borderId="25" xfId="0" applyNumberFormat="1" applyFill="1" applyBorder="1" applyAlignment="1">
      <alignment/>
    </xf>
    <xf numFmtId="0" fontId="0" fillId="38" borderId="25" xfId="0" applyFill="1" applyBorder="1" applyAlignment="1">
      <alignment/>
    </xf>
    <xf numFmtId="2" fontId="0" fillId="38" borderId="25" xfId="0" applyNumberFormat="1" applyFill="1" applyBorder="1" applyAlignment="1">
      <alignment horizontal="right"/>
    </xf>
    <xf numFmtId="2" fontId="3" fillId="38" borderId="25" xfId="0" applyNumberFormat="1" applyFont="1" applyFill="1" applyBorder="1" applyAlignment="1">
      <alignment horizontal="right"/>
    </xf>
    <xf numFmtId="0" fontId="4" fillId="38" borderId="25" xfId="0" applyFont="1" applyFill="1" applyBorder="1" applyAlignment="1">
      <alignment horizontal="right"/>
    </xf>
    <xf numFmtId="0" fontId="4" fillId="38" borderId="26" xfId="0" applyFont="1" applyFill="1" applyBorder="1" applyAlignment="1">
      <alignment horizontal="right"/>
    </xf>
    <xf numFmtId="0" fontId="3" fillId="38" borderId="68" xfId="0" applyFont="1" applyFill="1" applyBorder="1" applyAlignment="1">
      <alignment/>
    </xf>
    <xf numFmtId="0" fontId="3" fillId="38" borderId="69" xfId="0" applyFont="1" applyFill="1" applyBorder="1" applyAlignment="1">
      <alignment/>
    </xf>
    <xf numFmtId="0" fontId="0" fillId="38" borderId="69" xfId="0" applyFill="1" applyBorder="1" applyAlignment="1">
      <alignment/>
    </xf>
    <xf numFmtId="0" fontId="0" fillId="38" borderId="35" xfId="0" applyFill="1" applyBorder="1" applyAlignment="1">
      <alignment horizontal="center"/>
    </xf>
    <xf numFmtId="164" fontId="0" fillId="38" borderId="62" xfId="0" applyNumberFormat="1" applyFill="1" applyBorder="1" applyAlignment="1">
      <alignment/>
    </xf>
    <xf numFmtId="0" fontId="0" fillId="38" borderId="62" xfId="0" applyFill="1" applyBorder="1" applyAlignment="1">
      <alignment/>
    </xf>
    <xf numFmtId="2" fontId="0" fillId="38" borderId="62" xfId="0" applyNumberFormat="1" applyFill="1" applyBorder="1" applyAlignment="1">
      <alignment horizontal="right"/>
    </xf>
    <xf numFmtId="0" fontId="0" fillId="38" borderId="71" xfId="0" applyFill="1" applyBorder="1" applyAlignment="1">
      <alignment horizontal="right"/>
    </xf>
    <xf numFmtId="0" fontId="0" fillId="38" borderId="94" xfId="0" applyFill="1" applyBorder="1" applyAlignment="1">
      <alignment horizontal="right"/>
    </xf>
    <xf numFmtId="0" fontId="3" fillId="38" borderId="73" xfId="33" applyFont="1" applyFill="1" applyBorder="1">
      <alignment/>
      <protection/>
    </xf>
    <xf numFmtId="0" fontId="3" fillId="38" borderId="28" xfId="33" applyFont="1" applyFill="1" applyBorder="1">
      <alignment/>
      <protection/>
    </xf>
    <xf numFmtId="0" fontId="3" fillId="38" borderId="28" xfId="33" applyFont="1" applyFill="1" applyBorder="1" applyAlignment="1">
      <alignment horizontal="center"/>
      <protection/>
    </xf>
    <xf numFmtId="164" fontId="0" fillId="38" borderId="28" xfId="0" applyNumberFormat="1" applyFill="1" applyBorder="1" applyAlignment="1">
      <alignment/>
    </xf>
    <xf numFmtId="0" fontId="0" fillId="38" borderId="28" xfId="0" applyFill="1" applyBorder="1" applyAlignment="1">
      <alignment/>
    </xf>
    <xf numFmtId="0" fontId="3" fillId="39" borderId="27" xfId="33" applyFont="1" applyFill="1" applyBorder="1">
      <alignment/>
      <protection/>
    </xf>
    <xf numFmtId="0" fontId="3" fillId="39" borderId="13" xfId="33" applyFill="1" applyBorder="1">
      <alignment/>
      <protection/>
    </xf>
    <xf numFmtId="0" fontId="1" fillId="39" borderId="54" xfId="33" applyFont="1" applyFill="1" applyBorder="1">
      <alignment/>
      <protection/>
    </xf>
    <xf numFmtId="164" fontId="3" fillId="39" borderId="11" xfId="33" applyNumberFormat="1" applyFill="1" applyBorder="1" applyAlignment="1">
      <alignment horizontal="right"/>
      <protection/>
    </xf>
    <xf numFmtId="0" fontId="3" fillId="39" borderId="11" xfId="33" applyFill="1" applyBorder="1" applyAlignment="1">
      <alignment horizontal="right"/>
      <protection/>
    </xf>
    <xf numFmtId="2" fontId="3" fillId="39" borderId="11" xfId="33" applyNumberFormat="1" applyFill="1" applyBorder="1" applyAlignment="1">
      <alignment horizontal="right"/>
      <protection/>
    </xf>
    <xf numFmtId="2" fontId="3" fillId="39" borderId="11" xfId="33" applyNumberFormat="1" applyFont="1" applyFill="1" applyBorder="1" applyAlignment="1">
      <alignment horizontal="right"/>
      <protection/>
    </xf>
    <xf numFmtId="0" fontId="4" fillId="39" borderId="25" xfId="0" applyFont="1" applyFill="1" applyBorder="1" applyAlignment="1">
      <alignment horizontal="right"/>
    </xf>
    <xf numFmtId="0" fontId="4" fillId="39" borderId="26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3" fillId="39" borderId="0" xfId="33" applyFont="1" applyFill="1" applyBorder="1">
      <alignment/>
      <protection/>
    </xf>
    <xf numFmtId="0" fontId="3" fillId="39" borderId="45" xfId="33" applyFill="1" applyBorder="1">
      <alignment/>
      <protection/>
    </xf>
    <xf numFmtId="0" fontId="1" fillId="39" borderId="53" xfId="33" applyFont="1" applyFill="1" applyBorder="1">
      <alignment/>
      <protection/>
    </xf>
    <xf numFmtId="2" fontId="3" fillId="39" borderId="12" xfId="33" applyNumberFormat="1" applyFont="1" applyFill="1" applyBorder="1" applyAlignment="1">
      <alignment horizontal="right"/>
      <protection/>
    </xf>
    <xf numFmtId="0" fontId="3" fillId="39" borderId="28" xfId="33" applyFill="1" applyBorder="1" applyAlignment="1">
      <alignment horizontal="right"/>
      <protection/>
    </xf>
    <xf numFmtId="0" fontId="3" fillId="39" borderId="29" xfId="33" applyFont="1" applyFill="1" applyBorder="1" applyAlignment="1">
      <alignment horizontal="right"/>
      <protection/>
    </xf>
    <xf numFmtId="0" fontId="3" fillId="39" borderId="31" xfId="33" applyFont="1" applyFill="1" applyBorder="1">
      <alignment/>
      <protection/>
    </xf>
    <xf numFmtId="0" fontId="3" fillId="39" borderId="32" xfId="33" applyFont="1" applyFill="1" applyBorder="1">
      <alignment/>
      <protection/>
    </xf>
    <xf numFmtId="0" fontId="3" fillId="39" borderId="47" xfId="33" applyFont="1" applyFill="1" applyBorder="1">
      <alignment/>
      <protection/>
    </xf>
    <xf numFmtId="0" fontId="3" fillId="39" borderId="28" xfId="33" applyFont="1" applyFill="1" applyBorder="1">
      <alignment/>
      <protection/>
    </xf>
    <xf numFmtId="164" fontId="3" fillId="39" borderId="28" xfId="33" applyNumberFormat="1" applyFill="1" applyBorder="1" applyAlignment="1">
      <alignment horizontal="right"/>
      <protection/>
    </xf>
    <xf numFmtId="2" fontId="3" fillId="39" borderId="28" xfId="33" applyNumberFormat="1" applyFill="1" applyBorder="1" applyAlignment="1">
      <alignment horizontal="right"/>
      <protection/>
    </xf>
    <xf numFmtId="2" fontId="3" fillId="39" borderId="28" xfId="33" applyNumberFormat="1" applyFont="1" applyFill="1" applyBorder="1" applyAlignment="1">
      <alignment horizontal="right"/>
      <protection/>
    </xf>
    <xf numFmtId="0" fontId="3" fillId="39" borderId="29" xfId="33" applyFill="1" applyBorder="1" applyAlignment="1">
      <alignment horizontal="right"/>
      <protection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0" fontId="1" fillId="0" borderId="37" xfId="33" applyFont="1" applyFill="1" applyBorder="1" applyAlignment="1">
      <alignment horizontal="left"/>
      <protection/>
    </xf>
    <xf numFmtId="0" fontId="3" fillId="0" borderId="121" xfId="33" applyFont="1" applyFill="1" applyBorder="1" applyAlignment="1">
      <alignment horizontal="left"/>
      <protection/>
    </xf>
    <xf numFmtId="0" fontId="3" fillId="0" borderId="121" xfId="0" applyFont="1" applyFill="1" applyBorder="1" applyAlignment="1">
      <alignment horizontal="left"/>
    </xf>
    <xf numFmtId="0" fontId="1" fillId="0" borderId="107" xfId="0" applyFont="1" applyFill="1" applyBorder="1" applyAlignment="1">
      <alignment/>
    </xf>
    <xf numFmtId="0" fontId="1" fillId="0" borderId="37" xfId="33" applyFont="1" applyBorder="1" applyAlignment="1">
      <alignment horizontal="left"/>
      <protection/>
    </xf>
    <xf numFmtId="0" fontId="1" fillId="0" borderId="3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 wrapText="1"/>
    </xf>
    <xf numFmtId="0" fontId="1" fillId="0" borderId="0" xfId="33" applyFont="1" applyBorder="1" applyAlignment="1">
      <alignment horizontal="left"/>
      <protection/>
    </xf>
    <xf numFmtId="0" fontId="1" fillId="0" borderId="11" xfId="33" applyFont="1" applyBorder="1" applyAlignment="1">
      <alignment horizontal="center" vertical="center"/>
      <protection/>
    </xf>
    <xf numFmtId="0" fontId="3" fillId="0" borderId="107" xfId="0" applyFont="1" applyFill="1" applyBorder="1" applyAlignment="1">
      <alignment/>
    </xf>
    <xf numFmtId="0" fontId="3" fillId="0" borderId="37" xfId="0" applyFont="1" applyBorder="1" applyAlignment="1">
      <alignment/>
    </xf>
    <xf numFmtId="0" fontId="1" fillId="0" borderId="42" xfId="33" applyFont="1" applyBorder="1" applyAlignment="1">
      <alignment horizontal="left"/>
      <protection/>
    </xf>
    <xf numFmtId="0" fontId="1" fillId="0" borderId="37" xfId="33" applyFont="1" applyFill="1" applyBorder="1" applyAlignment="1">
      <alignment horizontal="left" wrapText="1"/>
      <protection/>
    </xf>
    <xf numFmtId="0" fontId="9" fillId="0" borderId="37" xfId="0" applyFont="1" applyBorder="1" applyAlignment="1">
      <alignment horizontal="left"/>
    </xf>
    <xf numFmtId="0" fontId="1" fillId="0" borderId="89" xfId="33" applyFont="1" applyBorder="1" applyAlignment="1">
      <alignment horizontal="left" wrapText="1"/>
      <protection/>
    </xf>
    <xf numFmtId="0" fontId="3" fillId="0" borderId="31" xfId="0" applyFont="1" applyBorder="1" applyAlignment="1">
      <alignment/>
    </xf>
    <xf numFmtId="0" fontId="3" fillId="0" borderId="55" xfId="0" applyFont="1" applyBorder="1" applyAlignment="1">
      <alignment/>
    </xf>
    <xf numFmtId="0" fontId="10" fillId="0" borderId="37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33" borderId="102" xfId="33" applyFont="1" applyFill="1" applyBorder="1" applyAlignment="1">
      <alignment horizontal="left"/>
      <protection/>
    </xf>
    <xf numFmtId="0" fontId="1" fillId="0" borderId="107" xfId="0" applyFont="1" applyFill="1" applyBorder="1" applyAlignment="1">
      <alignment wrapText="1"/>
    </xf>
    <xf numFmtId="0" fontId="1" fillId="0" borderId="37" xfId="33" applyFont="1" applyBorder="1" applyAlignment="1">
      <alignment wrapText="1"/>
      <protection/>
    </xf>
    <xf numFmtId="0" fontId="1" fillId="0" borderId="3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2" fontId="1" fillId="0" borderId="13" xfId="33" applyNumberFormat="1" applyFont="1" applyBorder="1" applyAlignment="1">
      <alignment horizontal="center"/>
      <protection/>
    </xf>
    <xf numFmtId="0" fontId="1" fillId="0" borderId="41" xfId="33" applyFont="1" applyBorder="1" applyAlignment="1">
      <alignment horizontal="left"/>
      <protection/>
    </xf>
    <xf numFmtId="0" fontId="9" fillId="0" borderId="37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7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1" fillId="0" borderId="89" xfId="33" applyFont="1" applyFill="1" applyBorder="1" applyAlignment="1">
      <alignment horizontal="left" vertical="center" wrapText="1"/>
      <protection/>
    </xf>
    <xf numFmtId="0" fontId="1" fillId="0" borderId="0" xfId="33" applyFont="1" applyFill="1" applyBorder="1" applyAlignment="1">
      <alignment horizontal="left" vertical="center" wrapText="1"/>
      <protection/>
    </xf>
    <xf numFmtId="0" fontId="1" fillId="0" borderId="17" xfId="33" applyFont="1" applyFill="1" applyBorder="1" applyAlignment="1">
      <alignment horizontal="left"/>
      <protection/>
    </xf>
    <xf numFmtId="0" fontId="1" fillId="0" borderId="102" xfId="33" applyFont="1" applyFill="1" applyBorder="1" applyAlignment="1">
      <alignment horizontal="left"/>
      <protection/>
    </xf>
    <xf numFmtId="0" fontId="1" fillId="0" borderId="37" xfId="0" applyFont="1" applyFill="1" applyBorder="1" applyAlignment="1">
      <alignment horizontal="left" wrapText="1"/>
    </xf>
    <xf numFmtId="0" fontId="6" fillId="33" borderId="73" xfId="33" applyFont="1" applyFill="1" applyBorder="1">
      <alignment/>
      <protection/>
    </xf>
    <xf numFmtId="0" fontId="1" fillId="0" borderId="37" xfId="33" applyFont="1" applyBorder="1" applyAlignment="1">
      <alignment horizontal="left" vertical="center" wrapText="1"/>
      <protection/>
    </xf>
    <xf numFmtId="0" fontId="2" fillId="0" borderId="89" xfId="33" applyFont="1" applyBorder="1" applyAlignment="1">
      <alignment wrapText="1"/>
      <protection/>
    </xf>
    <xf numFmtId="0" fontId="1" fillId="0" borderId="107" xfId="0" applyFont="1" applyBorder="1" applyAlignment="1">
      <alignment/>
    </xf>
    <xf numFmtId="0" fontId="2" fillId="0" borderId="89" xfId="33" applyFont="1" applyBorder="1" applyAlignment="1">
      <alignment horizontal="center" wrapText="1"/>
      <protection/>
    </xf>
    <xf numFmtId="0" fontId="2" fillId="0" borderId="89" xfId="33" applyFont="1" applyBorder="1" applyAlignment="1">
      <alignment horizontal="center"/>
      <protection/>
    </xf>
    <xf numFmtId="0" fontId="1" fillId="0" borderId="37" xfId="0" applyFont="1" applyFill="1" applyBorder="1" applyAlignment="1">
      <alignment horizontal="left" vertical="center" wrapText="1"/>
    </xf>
    <xf numFmtId="0" fontId="1" fillId="0" borderId="102" xfId="0" applyFont="1" applyFill="1" applyBorder="1" applyAlignment="1">
      <alignment horizontal="left"/>
    </xf>
    <xf numFmtId="0" fontId="3" fillId="0" borderId="107" xfId="0" applyFont="1" applyBorder="1" applyAlignment="1">
      <alignment/>
    </xf>
    <xf numFmtId="0" fontId="1" fillId="0" borderId="10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/>
    </xf>
    <xf numFmtId="0" fontId="1" fillId="0" borderId="3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22" xfId="0" applyFont="1" applyBorder="1" applyAlignment="1">
      <alignment/>
    </xf>
    <xf numFmtId="0" fontId="1" fillId="0" borderId="30" xfId="33" applyFont="1" applyFill="1" applyBorder="1" applyAlignment="1">
      <alignment horizontal="left"/>
      <protection/>
    </xf>
    <xf numFmtId="0" fontId="3" fillId="0" borderId="30" xfId="0" applyFont="1" applyBorder="1" applyAlignment="1">
      <alignment/>
    </xf>
    <xf numFmtId="0" fontId="3" fillId="0" borderId="117" xfId="0" applyFont="1" applyBorder="1" applyAlignment="1">
      <alignment/>
    </xf>
    <xf numFmtId="0" fontId="3" fillId="0" borderId="37" xfId="33" applyFont="1" applyFill="1" applyBorder="1" applyAlignment="1">
      <alignment horizontal="left"/>
      <protection/>
    </xf>
    <xf numFmtId="0" fontId="3" fillId="0" borderId="30" xfId="33" applyFont="1" applyFill="1" applyBorder="1" applyAlignment="1">
      <alignment horizontal="left"/>
      <protection/>
    </xf>
    <xf numFmtId="0" fontId="3" fillId="0" borderId="15" xfId="33" applyFont="1" applyFill="1" applyBorder="1" applyAlignment="1">
      <alignment horizontal="left"/>
      <protection/>
    </xf>
    <xf numFmtId="0" fontId="3" fillId="0" borderId="30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1" fillId="0" borderId="37" xfId="33" applyFont="1" applyFill="1" applyBorder="1" applyAlignment="1">
      <alignment horizontal="left" vertical="center" wrapText="1"/>
      <protection/>
    </xf>
    <xf numFmtId="0" fontId="1" fillId="0" borderId="30" xfId="33" applyFont="1" applyFill="1" applyBorder="1" applyAlignment="1">
      <alignment horizontal="left" vertical="center" wrapText="1"/>
      <protection/>
    </xf>
    <xf numFmtId="0" fontId="1" fillId="0" borderId="48" xfId="33" applyFont="1" applyFill="1" applyBorder="1" applyAlignment="1">
      <alignment horizontal="left" vertical="center" wrapText="1"/>
      <protection/>
    </xf>
    <xf numFmtId="0" fontId="9" fillId="0" borderId="30" xfId="0" applyFont="1" applyBorder="1" applyAlignment="1">
      <alignment horizontal="left"/>
    </xf>
    <xf numFmtId="0" fontId="1" fillId="0" borderId="88" xfId="33" applyFont="1" applyFill="1" applyBorder="1" applyAlignment="1">
      <alignment horizontal="left"/>
      <protection/>
    </xf>
    <xf numFmtId="0" fontId="1" fillId="0" borderId="48" xfId="33" applyFont="1" applyFill="1" applyBorder="1" applyAlignment="1">
      <alignment horizontal="left"/>
      <protection/>
    </xf>
    <xf numFmtId="0" fontId="1" fillId="0" borderId="30" xfId="0" applyFont="1" applyFill="1" applyBorder="1" applyAlignment="1">
      <alignment horizontal="left"/>
    </xf>
    <xf numFmtId="0" fontId="1" fillId="0" borderId="117" xfId="0" applyFont="1" applyFill="1" applyBorder="1" applyAlignment="1">
      <alignment horizontal="left"/>
    </xf>
    <xf numFmtId="0" fontId="1" fillId="0" borderId="117" xfId="33" applyFont="1" applyFill="1" applyBorder="1" applyAlignment="1">
      <alignment horizontal="left"/>
      <protection/>
    </xf>
    <xf numFmtId="0" fontId="1" fillId="0" borderId="37" xfId="33" applyFont="1" applyBorder="1" applyAlignment="1">
      <alignment horizontal="left" wrapText="1"/>
      <protection/>
    </xf>
    <xf numFmtId="0" fontId="1" fillId="0" borderId="30" xfId="33" applyFont="1" applyBorder="1" applyAlignment="1">
      <alignment horizontal="left" wrapText="1"/>
      <protection/>
    </xf>
    <xf numFmtId="0" fontId="1" fillId="0" borderId="48" xfId="33" applyFont="1" applyBorder="1" applyAlignment="1">
      <alignment horizontal="left" wrapText="1"/>
      <protection/>
    </xf>
    <xf numFmtId="0" fontId="1" fillId="0" borderId="30" xfId="0" applyFont="1" applyBorder="1" applyAlignment="1">
      <alignment horizontal="left"/>
    </xf>
    <xf numFmtId="0" fontId="1" fillId="0" borderId="123" xfId="33" applyFont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3" fillId="0" borderId="49" xfId="33" applyFont="1" applyFill="1" applyBorder="1" applyAlignment="1">
      <alignment horizontal="left"/>
      <protection/>
    </xf>
    <xf numFmtId="0" fontId="3" fillId="0" borderId="50" xfId="33" applyFont="1" applyFill="1" applyBorder="1" applyAlignment="1">
      <alignment horizontal="left"/>
      <protection/>
    </xf>
    <xf numFmtId="0" fontId="3" fillId="0" borderId="96" xfId="33" applyFont="1" applyFill="1" applyBorder="1" applyAlignment="1">
      <alignment horizontal="left"/>
      <protection/>
    </xf>
    <xf numFmtId="0" fontId="1" fillId="0" borderId="30" xfId="33" applyFont="1" applyFill="1" applyBorder="1" applyAlignment="1">
      <alignment horizontal="left" wrapText="1"/>
      <protection/>
    </xf>
    <xf numFmtId="0" fontId="1" fillId="0" borderId="30" xfId="0" applyFont="1" applyFill="1" applyBorder="1" applyAlignment="1">
      <alignment horizontal="left" wrapText="1"/>
    </xf>
    <xf numFmtId="0" fontId="1" fillId="0" borderId="30" xfId="33" applyFont="1" applyBorder="1" applyAlignment="1">
      <alignment horizontal="left"/>
      <protection/>
    </xf>
    <xf numFmtId="0" fontId="1" fillId="0" borderId="48" xfId="33" applyFont="1" applyBorder="1" applyAlignment="1">
      <alignment horizontal="left"/>
      <protection/>
    </xf>
    <xf numFmtId="0" fontId="2" fillId="0" borderId="95" xfId="33" applyFont="1" applyBorder="1" applyAlignment="1">
      <alignment horizontal="center" wrapText="1"/>
      <protection/>
    </xf>
    <xf numFmtId="0" fontId="2" fillId="0" borderId="87" xfId="33" applyFont="1" applyBorder="1" applyAlignment="1">
      <alignment horizontal="center" wrapText="1"/>
      <protection/>
    </xf>
    <xf numFmtId="0" fontId="2" fillId="0" borderId="41" xfId="33" applyFont="1" applyBorder="1" applyAlignment="1">
      <alignment horizontal="center" wrapText="1"/>
      <protection/>
    </xf>
    <xf numFmtId="0" fontId="2" fillId="0" borderId="43" xfId="33" applyFont="1" applyBorder="1" applyAlignment="1">
      <alignment horizontal="center" wrapText="1"/>
      <protection/>
    </xf>
    <xf numFmtId="0" fontId="1" fillId="0" borderId="30" xfId="33" applyFont="1" applyBorder="1" applyAlignment="1">
      <alignment horizontal="left" vertical="center" wrapText="1"/>
      <protection/>
    </xf>
    <xf numFmtId="0" fontId="1" fillId="0" borderId="117" xfId="0" applyFont="1" applyBorder="1" applyAlignment="1">
      <alignment/>
    </xf>
    <xf numFmtId="0" fontId="1" fillId="0" borderId="117" xfId="33" applyFont="1" applyBorder="1" applyAlignment="1">
      <alignment horizontal="left"/>
      <protection/>
    </xf>
    <xf numFmtId="0" fontId="1" fillId="0" borderId="1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6" fillId="33" borderId="22" xfId="33" applyFont="1" applyFill="1" applyBorder="1">
      <alignment/>
      <protection/>
    </xf>
    <xf numFmtId="0" fontId="6" fillId="33" borderId="23" xfId="33" applyFont="1" applyFill="1" applyBorder="1">
      <alignment/>
      <protection/>
    </xf>
    <xf numFmtId="0" fontId="6" fillId="33" borderId="124" xfId="33" applyFont="1" applyFill="1" applyBorder="1">
      <alignment/>
      <protection/>
    </xf>
    <xf numFmtId="0" fontId="19" fillId="0" borderId="37" xfId="33" applyFont="1" applyFill="1" applyBorder="1">
      <alignment/>
      <protection/>
    </xf>
    <xf numFmtId="0" fontId="6" fillId="0" borderId="0" xfId="33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18" fillId="0" borderId="107" xfId="0" applyFont="1" applyBorder="1" applyAlignment="1">
      <alignment/>
    </xf>
    <xf numFmtId="0" fontId="6" fillId="0" borderId="37" xfId="33" applyFont="1" applyBorder="1" applyAlignment="1">
      <alignment horizontal="left"/>
      <protection/>
    </xf>
    <xf numFmtId="0" fontId="3" fillId="0" borderId="89" xfId="0" applyFont="1" applyBorder="1" applyAlignment="1">
      <alignment horizontal="center"/>
    </xf>
    <xf numFmtId="0" fontId="8" fillId="0" borderId="107" xfId="0" applyFont="1" applyBorder="1" applyAlignment="1">
      <alignment wrapText="1"/>
    </xf>
    <xf numFmtId="0" fontId="0" fillId="0" borderId="89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37" xfId="33" applyFont="1" applyFill="1" applyBorder="1" applyAlignment="1">
      <alignment wrapText="1"/>
      <protection/>
    </xf>
    <xf numFmtId="0" fontId="8" fillId="0" borderId="89" xfId="0" applyFont="1" applyBorder="1" applyAlignment="1">
      <alignment horizontal="center"/>
    </xf>
    <xf numFmtId="0" fontId="1" fillId="0" borderId="0" xfId="33" applyFont="1" applyBorder="1" applyAlignment="1">
      <alignment horizontal="left" wrapText="1"/>
      <protection/>
    </xf>
    <xf numFmtId="0" fontId="8" fillId="0" borderId="107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33" applyFont="1" applyBorder="1" applyAlignment="1">
      <alignment horizontal="left" wrapText="1"/>
      <protection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6" fillId="0" borderId="37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1"/>
  <sheetViews>
    <sheetView zoomScalePageLayoutView="0" workbookViewId="0" topLeftCell="A877">
      <selection activeCell="H833" sqref="H833"/>
    </sheetView>
  </sheetViews>
  <sheetFormatPr defaultColWidth="11.57421875" defaultRowHeight="12.75"/>
  <cols>
    <col min="1" max="1" width="16.8515625" style="0" customWidth="1"/>
    <col min="2" max="2" width="11.57421875" style="0" customWidth="1"/>
    <col min="3" max="3" width="8.421875" style="0" customWidth="1"/>
    <col min="4" max="4" width="8.28125" style="0" customWidth="1"/>
    <col min="5" max="5" width="7.7109375" style="0" customWidth="1"/>
    <col min="6" max="6" width="8.140625" style="0" customWidth="1"/>
    <col min="7" max="7" width="7.8515625" style="0" customWidth="1"/>
    <col min="8" max="8" width="10.8515625" style="0" customWidth="1"/>
    <col min="9" max="9" width="9.140625" style="0" customWidth="1"/>
    <col min="10" max="10" width="9.7109375" style="0" customWidth="1"/>
    <col min="11" max="12" width="9.140625" style="0" customWidth="1"/>
    <col min="13" max="13" width="10.7109375" style="0" customWidth="1"/>
  </cols>
  <sheetData>
    <row r="1" spans="1:14" ht="15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L1" s="4"/>
      <c r="M1" s="1"/>
      <c r="N1" s="1"/>
    </row>
    <row r="2" spans="4:12" ht="12.75">
      <c r="D2" s="1" t="s">
        <v>1</v>
      </c>
      <c r="G2" s="5"/>
      <c r="H2" s="5"/>
      <c r="J2" s="4"/>
      <c r="L2" s="4"/>
    </row>
    <row r="3" spans="1:12" ht="25.5">
      <c r="A3" s="1772" t="s">
        <v>2</v>
      </c>
      <c r="B3" s="1772"/>
      <c r="C3" s="1772"/>
      <c r="D3" s="6" t="s">
        <v>3</v>
      </c>
      <c r="E3" s="7" t="s">
        <v>4</v>
      </c>
      <c r="F3" s="7" t="s">
        <v>5</v>
      </c>
      <c r="G3" s="8" t="s">
        <v>6</v>
      </c>
      <c r="H3" s="9" t="s">
        <v>7</v>
      </c>
      <c r="I3" s="7" t="s">
        <v>8</v>
      </c>
      <c r="J3" s="7" t="s">
        <v>9</v>
      </c>
      <c r="K3" s="10" t="s">
        <v>10</v>
      </c>
      <c r="L3" s="7" t="s">
        <v>11</v>
      </c>
    </row>
    <row r="4" spans="1:12" ht="12.75">
      <c r="A4" s="1772"/>
      <c r="B4" s="1772"/>
      <c r="C4" s="1772"/>
      <c r="D4" s="11"/>
      <c r="E4" s="12"/>
      <c r="F4" s="12"/>
      <c r="G4" s="13"/>
      <c r="H4" s="13"/>
      <c r="I4" s="12" t="s">
        <v>12</v>
      </c>
      <c r="J4" s="12"/>
      <c r="K4" s="12"/>
      <c r="L4" s="14"/>
    </row>
    <row r="5" spans="1:12" ht="12.75">
      <c r="A5" s="15"/>
      <c r="B5" s="15"/>
      <c r="C5" s="15"/>
      <c r="D5" s="15"/>
      <c r="E5" s="16"/>
      <c r="F5" s="16"/>
      <c r="G5" s="17"/>
      <c r="H5" s="17"/>
      <c r="I5" s="16"/>
      <c r="J5" s="16"/>
      <c r="K5" s="16"/>
      <c r="L5" s="16"/>
    </row>
    <row r="6" spans="1:12" ht="15">
      <c r="A6" s="18" t="s">
        <v>13</v>
      </c>
      <c r="B6" s="19"/>
      <c r="C6" s="19"/>
      <c r="D6" s="19"/>
      <c r="E6" s="19"/>
      <c r="F6" s="19"/>
      <c r="G6" s="17"/>
      <c r="H6" s="17"/>
      <c r="I6" s="16"/>
      <c r="J6" s="16"/>
      <c r="K6" s="19"/>
      <c r="L6" s="16"/>
    </row>
    <row r="7" spans="1:15" ht="12.75">
      <c r="A7" s="1773" t="s">
        <v>14</v>
      </c>
      <c r="B7" s="1773"/>
      <c r="C7" s="1773"/>
      <c r="D7" s="20">
        <v>200</v>
      </c>
      <c r="E7" s="21"/>
      <c r="F7" s="21"/>
      <c r="G7" s="22"/>
      <c r="H7" s="23">
        <f>H8+H9+H11+H10</f>
        <v>14.479999999999999</v>
      </c>
      <c r="I7" s="24">
        <f>SUM(I8:I11)</f>
        <v>6.459999999999999</v>
      </c>
      <c r="J7" s="24">
        <f>SUM(J8:J11)</f>
        <v>7.575</v>
      </c>
      <c r="K7" s="24">
        <f>SUM(K8:K11)</f>
        <v>25.381999999999998</v>
      </c>
      <c r="L7" s="25">
        <f>SUM(L8:L11)</f>
        <v>204.86</v>
      </c>
      <c r="M7" s="26"/>
      <c r="N7" s="26"/>
      <c r="O7" s="26"/>
    </row>
    <row r="8" spans="1:12" ht="12.75">
      <c r="A8" s="27" t="s">
        <v>15</v>
      </c>
      <c r="B8" s="28"/>
      <c r="C8" s="28"/>
      <c r="D8" s="29"/>
      <c r="E8" s="30">
        <v>0.02</v>
      </c>
      <c r="F8" s="31">
        <v>20</v>
      </c>
      <c r="G8" s="32">
        <v>91</v>
      </c>
      <c r="H8" s="33">
        <f>E8*G8</f>
        <v>1.82</v>
      </c>
      <c r="I8" s="34">
        <f>(E8*10.3)/0.1</f>
        <v>2.06</v>
      </c>
      <c r="J8" s="35">
        <f>(F8*1)/100</f>
        <v>0.2</v>
      </c>
      <c r="K8" s="35">
        <f>(F8*70.6)/100</f>
        <v>14.12</v>
      </c>
      <c r="L8" s="36">
        <f>(F8*329)/100</f>
        <v>65.8</v>
      </c>
    </row>
    <row r="9" spans="1:12" ht="12.75">
      <c r="A9" s="37" t="s">
        <v>16</v>
      </c>
      <c r="B9" s="38"/>
      <c r="C9" s="39"/>
      <c r="D9" s="40"/>
      <c r="E9" s="41">
        <v>0.005</v>
      </c>
      <c r="F9" s="42">
        <v>5</v>
      </c>
      <c r="G9" s="43">
        <v>300</v>
      </c>
      <c r="H9" s="44">
        <f>E9*G9</f>
        <v>1.5</v>
      </c>
      <c r="I9" s="45">
        <f>(F9*1)/100</f>
        <v>0.05</v>
      </c>
      <c r="J9" s="45">
        <f>(F9*72.5)/100</f>
        <v>3.625</v>
      </c>
      <c r="K9" s="45">
        <f>(F9*1.4)/100</f>
        <v>0.07</v>
      </c>
      <c r="L9" s="46">
        <f>(F9*662)/100</f>
        <v>33.1</v>
      </c>
    </row>
    <row r="10" spans="1:12" ht="12.75">
      <c r="A10" s="47" t="s">
        <v>17</v>
      </c>
      <c r="B10" s="48"/>
      <c r="C10" s="49"/>
      <c r="D10" s="50"/>
      <c r="E10" s="51">
        <v>0.004</v>
      </c>
      <c r="F10" s="52">
        <v>4</v>
      </c>
      <c r="G10" s="53">
        <v>90</v>
      </c>
      <c r="H10" s="53">
        <f>E10*G10</f>
        <v>0.36</v>
      </c>
      <c r="I10" s="54"/>
      <c r="J10" s="54"/>
      <c r="K10" s="54">
        <f>(F10*99.8)/100</f>
        <v>3.992</v>
      </c>
      <c r="L10" s="55">
        <f>(F10*399)/100</f>
        <v>15.96</v>
      </c>
    </row>
    <row r="11" spans="1:12" ht="12.75">
      <c r="A11" s="56" t="s">
        <v>18</v>
      </c>
      <c r="B11" s="57"/>
      <c r="C11" s="57"/>
      <c r="D11" s="58"/>
      <c r="E11" s="59">
        <v>0.15</v>
      </c>
      <c r="F11" s="60">
        <v>150</v>
      </c>
      <c r="G11" s="61">
        <v>72</v>
      </c>
      <c r="H11" s="62">
        <f>E11*G11</f>
        <v>10.799999999999999</v>
      </c>
      <c r="I11" s="63">
        <f>(2.9*F11)/100</f>
        <v>4.35</v>
      </c>
      <c r="J11" s="63">
        <f>(F11*2.5)/100</f>
        <v>3.75</v>
      </c>
      <c r="K11" s="63">
        <f>(4.8*F11)/100</f>
        <v>7.2</v>
      </c>
      <c r="L11" s="64">
        <f>(F11*60)/100</f>
        <v>90</v>
      </c>
    </row>
    <row r="12" spans="1:12" ht="12.75">
      <c r="A12" s="1773" t="s">
        <v>19</v>
      </c>
      <c r="B12" s="1773"/>
      <c r="C12" s="1773"/>
      <c r="D12" s="65">
        <v>200</v>
      </c>
      <c r="E12" s="66"/>
      <c r="F12" s="21"/>
      <c r="G12" s="22"/>
      <c r="H12" s="23">
        <f>H13+H14+H15</f>
        <v>1.3488000000000002</v>
      </c>
      <c r="I12" s="67">
        <f>I13+I15+I14</f>
        <v>0</v>
      </c>
      <c r="J12" s="67">
        <f>J13+J15+J14</f>
        <v>0</v>
      </c>
      <c r="K12" s="67">
        <f>K13+K15+K14</f>
        <v>11.975999999999999</v>
      </c>
      <c r="L12" s="67">
        <f>L13+L15+L14</f>
        <v>47.88</v>
      </c>
    </row>
    <row r="13" spans="1:12" ht="12.75">
      <c r="A13" s="68" t="s">
        <v>20</v>
      </c>
      <c r="B13" s="69"/>
      <c r="C13" s="70"/>
      <c r="D13" s="71"/>
      <c r="E13" s="72">
        <v>0.0006000000000000001</v>
      </c>
      <c r="F13" s="73">
        <v>0.6</v>
      </c>
      <c r="G13" s="74">
        <v>448</v>
      </c>
      <c r="H13" s="74">
        <f>E13*G13</f>
        <v>0.26880000000000004</v>
      </c>
      <c r="I13" s="75"/>
      <c r="J13" s="75"/>
      <c r="K13" s="75"/>
      <c r="L13" s="76"/>
    </row>
    <row r="14" spans="1:12" ht="12.75">
      <c r="A14" s="68" t="s">
        <v>17</v>
      </c>
      <c r="B14" s="69"/>
      <c r="C14" s="70"/>
      <c r="D14" s="71"/>
      <c r="E14" s="77">
        <v>0.012</v>
      </c>
      <c r="F14" s="78">
        <v>12</v>
      </c>
      <c r="G14" s="79">
        <v>90</v>
      </c>
      <c r="H14" s="79">
        <f>G14*E14</f>
        <v>1.08</v>
      </c>
      <c r="I14" s="80"/>
      <c r="J14" s="80"/>
      <c r="K14" s="80">
        <f>(F14*99.8)/100</f>
        <v>11.975999999999999</v>
      </c>
      <c r="L14" s="81">
        <f>(F14*399)/100</f>
        <v>47.88</v>
      </c>
    </row>
    <row r="15" spans="1:12" ht="12.75">
      <c r="A15" s="37"/>
      <c r="B15" s="38"/>
      <c r="C15" s="39"/>
      <c r="D15" s="71"/>
      <c r="E15" s="82"/>
      <c r="F15" s="83"/>
      <c r="G15" s="84"/>
      <c r="H15" s="84"/>
      <c r="I15" s="85"/>
      <c r="J15" s="85"/>
      <c r="K15" s="85"/>
      <c r="L15" s="86"/>
    </row>
    <row r="16" spans="1:12" ht="12.75" customHeight="1">
      <c r="A16" s="1774" t="s">
        <v>21</v>
      </c>
      <c r="B16" s="1774"/>
      <c r="C16" s="1774"/>
      <c r="D16" s="88" t="s">
        <v>22</v>
      </c>
      <c r="E16" s="89">
        <v>0.02</v>
      </c>
      <c r="F16" s="90">
        <v>20</v>
      </c>
      <c r="G16" s="91">
        <v>91</v>
      </c>
      <c r="H16" s="92">
        <f>E16*G16</f>
        <v>1.82</v>
      </c>
      <c r="I16" s="93">
        <f>(7.5*F16)/100</f>
        <v>1.5</v>
      </c>
      <c r="J16" s="93">
        <f>(9.8*F16)/100</f>
        <v>1.96</v>
      </c>
      <c r="K16" s="93">
        <f>(74.4*F16)/100</f>
        <v>14.88</v>
      </c>
      <c r="L16" s="94">
        <f>(417*F16)/100</f>
        <v>83.4</v>
      </c>
    </row>
    <row r="17" spans="1:12" ht="12.75" customHeight="1">
      <c r="A17" s="1775"/>
      <c r="B17" s="1775"/>
      <c r="C17" s="1775"/>
      <c r="D17" s="1775"/>
      <c r="E17" s="95"/>
      <c r="F17" s="96"/>
      <c r="G17" s="97"/>
      <c r="H17" s="98"/>
      <c r="I17" s="99"/>
      <c r="J17" s="99"/>
      <c r="K17" s="100"/>
      <c r="L17" s="101"/>
    </row>
    <row r="18" spans="1:12" ht="12.75">
      <c r="A18" s="1776"/>
      <c r="B18" s="1776"/>
      <c r="C18" s="1776"/>
      <c r="D18" s="103"/>
      <c r="E18" s="104"/>
      <c r="F18" s="104"/>
      <c r="G18" s="105"/>
      <c r="H18" s="106"/>
      <c r="I18" s="107"/>
      <c r="J18" s="107"/>
      <c r="K18" s="107"/>
      <c r="L18" s="108"/>
    </row>
    <row r="19" spans="1:12" ht="12.75">
      <c r="A19" s="1777"/>
      <c r="B19" s="1777"/>
      <c r="C19" s="1777"/>
      <c r="D19" s="109"/>
      <c r="E19" s="110"/>
      <c r="F19" s="111"/>
      <c r="G19" s="112"/>
      <c r="H19" s="113"/>
      <c r="I19" s="111"/>
      <c r="J19" s="111"/>
      <c r="K19" s="111"/>
      <c r="L19" s="114"/>
    </row>
    <row r="20" spans="1:12" ht="15.75">
      <c r="A20" s="115" t="s">
        <v>23</v>
      </c>
      <c r="B20" s="116"/>
      <c r="C20" s="116"/>
      <c r="D20" s="117"/>
      <c r="E20" s="118"/>
      <c r="F20" s="117"/>
      <c r="G20" s="119"/>
      <c r="H20" s="119">
        <f>H17+H16+H12+H7</f>
        <v>17.648799999999998</v>
      </c>
      <c r="I20" s="120"/>
      <c r="J20" s="120"/>
      <c r="K20" s="121"/>
      <c r="L20" s="122"/>
    </row>
    <row r="21" spans="1:12" ht="15.75">
      <c r="A21" s="123"/>
      <c r="B21" s="124" t="s">
        <v>24</v>
      </c>
      <c r="C21" s="125"/>
      <c r="D21" s="126"/>
      <c r="E21" s="127"/>
      <c r="F21" s="126"/>
      <c r="G21" s="128"/>
      <c r="H21" s="128"/>
      <c r="I21" s="129">
        <f>I17+I16+I12+I7</f>
        <v>7.959999999999999</v>
      </c>
      <c r="J21" s="129">
        <f>J17+J16+J12+J7</f>
        <v>9.535</v>
      </c>
      <c r="K21" s="129">
        <f>K17+K16+K12+K7</f>
        <v>52.238</v>
      </c>
      <c r="L21" s="129">
        <f>L17+L16+L12+L7</f>
        <v>336.14</v>
      </c>
    </row>
    <row r="22" spans="1:12" ht="15">
      <c r="A22" s="130" t="s">
        <v>25</v>
      </c>
      <c r="B22" s="131"/>
      <c r="C22" s="131"/>
      <c r="D22" s="16"/>
      <c r="E22" s="132"/>
      <c r="F22" s="16"/>
      <c r="G22" s="17"/>
      <c r="H22" s="17"/>
      <c r="I22" s="133"/>
      <c r="J22" s="133"/>
      <c r="K22" s="134"/>
      <c r="L22" s="134">
        <f>L21/1800</f>
        <v>0.18674444444444444</v>
      </c>
    </row>
    <row r="23" spans="1:12" ht="12.75">
      <c r="A23" s="1774" t="s">
        <v>26</v>
      </c>
      <c r="B23" s="1774"/>
      <c r="C23" s="1774"/>
      <c r="D23" s="135">
        <v>100</v>
      </c>
      <c r="E23" s="136"/>
      <c r="F23" s="136"/>
      <c r="G23" s="137"/>
      <c r="H23" s="138">
        <f>H24</f>
        <v>7</v>
      </c>
      <c r="I23" s="139"/>
      <c r="J23" s="139"/>
      <c r="K23" s="139"/>
      <c r="L23" s="140"/>
    </row>
    <row r="24" spans="1:12" ht="12.75">
      <c r="A24" s="1778" t="s">
        <v>26</v>
      </c>
      <c r="B24" s="1778"/>
      <c r="C24" s="1778"/>
      <c r="D24" s="141"/>
      <c r="E24" s="142">
        <v>0.1</v>
      </c>
      <c r="F24" s="143">
        <v>100</v>
      </c>
      <c r="G24" s="144">
        <v>70</v>
      </c>
      <c r="H24" s="145">
        <f>E24*G24</f>
        <v>7</v>
      </c>
      <c r="I24" s="143"/>
      <c r="J24" s="143"/>
      <c r="K24" s="143">
        <f>(10.1*F24)/100</f>
        <v>10.1</v>
      </c>
      <c r="L24" s="146">
        <f>(F24*46)/100</f>
        <v>46</v>
      </c>
    </row>
    <row r="25" spans="1:12" ht="12.75">
      <c r="A25" s="147"/>
      <c r="B25" s="131"/>
      <c r="C25" s="131"/>
      <c r="D25" s="16"/>
      <c r="E25" s="148"/>
      <c r="F25" s="149"/>
      <c r="G25" s="150"/>
      <c r="H25" s="151"/>
      <c r="I25" s="152"/>
      <c r="J25" s="152"/>
      <c r="K25" s="152"/>
      <c r="L25" s="153">
        <f>L24/1800</f>
        <v>0.025555555555555557</v>
      </c>
    </row>
    <row r="26" spans="1:12" ht="15.75">
      <c r="A26" s="154" t="s">
        <v>27</v>
      </c>
      <c r="B26" s="155"/>
      <c r="C26" s="156"/>
      <c r="D26" s="157"/>
      <c r="E26" s="157"/>
      <c r="F26" s="157"/>
      <c r="G26" s="158"/>
      <c r="H26" s="159">
        <f>H24</f>
        <v>7</v>
      </c>
      <c r="I26" s="160"/>
      <c r="J26" s="160"/>
      <c r="K26" s="160"/>
      <c r="L26" s="161"/>
    </row>
    <row r="27" spans="1:12" ht="15.75">
      <c r="A27" s="162" t="s">
        <v>24</v>
      </c>
      <c r="B27" s="163"/>
      <c r="C27" s="164"/>
      <c r="D27" s="165"/>
      <c r="E27" s="166"/>
      <c r="F27" s="166"/>
      <c r="G27" s="167"/>
      <c r="H27" s="168"/>
      <c r="I27" s="169">
        <f>I24+I21</f>
        <v>7.959999999999999</v>
      </c>
      <c r="J27" s="169">
        <f>J24+J21</f>
        <v>9.535</v>
      </c>
      <c r="K27" s="169">
        <f>K24+K21</f>
        <v>62.338</v>
      </c>
      <c r="L27" s="169">
        <f>L24+L21</f>
        <v>382.14</v>
      </c>
    </row>
    <row r="28" spans="1:12" ht="12.75">
      <c r="A28" s="170"/>
      <c r="B28" s="171"/>
      <c r="C28" s="171"/>
      <c r="D28" s="172"/>
      <c r="E28" s="172"/>
      <c r="F28" s="172"/>
      <c r="G28" s="173"/>
      <c r="H28" s="173"/>
      <c r="I28" s="174"/>
      <c r="J28" s="174"/>
      <c r="K28" s="174"/>
      <c r="L28" s="175"/>
    </row>
    <row r="29" spans="1:12" ht="15">
      <c r="A29" s="176" t="s">
        <v>28</v>
      </c>
      <c r="B29" s="177"/>
      <c r="C29" s="178"/>
      <c r="D29" s="179"/>
      <c r="E29" s="179"/>
      <c r="F29" s="179"/>
      <c r="G29" s="180"/>
      <c r="H29" s="180"/>
      <c r="I29" s="181"/>
      <c r="J29" s="181"/>
      <c r="K29" s="182"/>
      <c r="L29" s="183"/>
    </row>
    <row r="30" spans="1:12" ht="12.75">
      <c r="A30" s="1773" t="s">
        <v>29</v>
      </c>
      <c r="B30" s="1773"/>
      <c r="C30" s="1773"/>
      <c r="D30" s="181">
        <v>250</v>
      </c>
      <c r="E30" s="184"/>
      <c r="F30" s="185"/>
      <c r="G30" s="22"/>
      <c r="H30" s="23">
        <f>SUM(H31:H37)</f>
        <v>7.291</v>
      </c>
      <c r="I30" s="186">
        <f>I32+I33+I34+I35+I36</f>
        <v>2.508</v>
      </c>
      <c r="J30" s="186">
        <f>J32+J33+J34+J35+J36</f>
        <v>2.531</v>
      </c>
      <c r="K30" s="186">
        <f>K32+K33+K34+K35+K36</f>
        <v>18.176000000000002</v>
      </c>
      <c r="L30" s="186">
        <f>L32+L33+L34+L35+L36</f>
        <v>105.85999999999999</v>
      </c>
    </row>
    <row r="31" spans="1:12" ht="12.75">
      <c r="A31" s="187" t="s">
        <v>30</v>
      </c>
      <c r="B31" s="188"/>
      <c r="C31" s="188"/>
      <c r="D31" s="189"/>
      <c r="E31" s="190"/>
      <c r="F31" s="191"/>
      <c r="G31" s="192"/>
      <c r="H31" s="193"/>
      <c r="I31" s="194"/>
      <c r="J31" s="194"/>
      <c r="K31" s="194"/>
      <c r="L31" s="195"/>
    </row>
    <row r="32" spans="1:12" ht="12.75">
      <c r="A32" s="196" t="s">
        <v>16</v>
      </c>
      <c r="B32" s="197"/>
      <c r="C32" s="197"/>
      <c r="D32" s="198"/>
      <c r="E32" s="199">
        <v>0.003</v>
      </c>
      <c r="F32" s="194">
        <v>3</v>
      </c>
      <c r="G32" s="200">
        <v>300</v>
      </c>
      <c r="H32" s="201">
        <f>E32*G32</f>
        <v>0.9</v>
      </c>
      <c r="I32" s="45">
        <f>(F32*1)/100</f>
        <v>0.03</v>
      </c>
      <c r="J32" s="45">
        <f>(F32*72.5)/100</f>
        <v>2.175</v>
      </c>
      <c r="K32" s="45">
        <f>(F32*1.4)/100</f>
        <v>0.041999999999999996</v>
      </c>
      <c r="L32" s="46">
        <f>(F32*662)/100</f>
        <v>19.86</v>
      </c>
    </row>
    <row r="33" spans="1:12" ht="12.75">
      <c r="A33" s="68" t="s">
        <v>31</v>
      </c>
      <c r="B33" s="70"/>
      <c r="C33" s="70"/>
      <c r="D33" s="202"/>
      <c r="E33" s="199">
        <v>0.015</v>
      </c>
      <c r="F33" s="194">
        <v>15</v>
      </c>
      <c r="G33" s="200">
        <v>63</v>
      </c>
      <c r="H33" s="201">
        <f>E33*G33</f>
        <v>0.945</v>
      </c>
      <c r="I33" s="194">
        <f>(9.3*F33)/100</f>
        <v>1.395</v>
      </c>
      <c r="J33" s="194">
        <f>(F33*1.1)/100</f>
        <v>0.165</v>
      </c>
      <c r="K33" s="194">
        <f>(F33*66.9)/100</f>
        <v>10.035000000000002</v>
      </c>
      <c r="L33" s="203">
        <f>(315*F33)/100</f>
        <v>47.25</v>
      </c>
    </row>
    <row r="34" spans="1:25" ht="12.75" customHeight="1">
      <c r="A34" s="68" t="s">
        <v>32</v>
      </c>
      <c r="B34" s="70"/>
      <c r="C34" s="70"/>
      <c r="D34" s="202"/>
      <c r="E34" s="199">
        <v>0.065</v>
      </c>
      <c r="F34" s="194">
        <v>40</v>
      </c>
      <c r="G34" s="200">
        <v>56</v>
      </c>
      <c r="H34" s="201">
        <f>E34*G34</f>
        <v>3.64</v>
      </c>
      <c r="I34" s="204">
        <f>(F34*2)/100</f>
        <v>0.8</v>
      </c>
      <c r="J34" s="204">
        <f>(F34*0.4)/100</f>
        <v>0.16</v>
      </c>
      <c r="K34" s="204">
        <f>(F34*16.3)/100</f>
        <v>6.52</v>
      </c>
      <c r="L34" s="205">
        <f>(F34*77)/100</f>
        <v>30.8</v>
      </c>
      <c r="N34" s="206"/>
      <c r="O34" s="206"/>
      <c r="P34" s="206"/>
      <c r="Q34" s="207"/>
      <c r="R34" s="208"/>
      <c r="S34" s="208"/>
      <c r="T34" s="209"/>
      <c r="U34" s="210"/>
      <c r="V34" s="211"/>
      <c r="W34" s="211"/>
      <c r="X34" s="211"/>
      <c r="Y34" s="211"/>
    </row>
    <row r="35" spans="1:25" ht="12.75" customHeight="1">
      <c r="A35" s="196" t="s">
        <v>33</v>
      </c>
      <c r="B35" s="197"/>
      <c r="C35" s="197"/>
      <c r="D35" s="198"/>
      <c r="E35" s="212">
        <v>0.012</v>
      </c>
      <c r="F35" s="213">
        <v>10</v>
      </c>
      <c r="G35" s="214">
        <v>63</v>
      </c>
      <c r="H35" s="215">
        <f>E35*G35</f>
        <v>0.756</v>
      </c>
      <c r="I35" s="213">
        <f>(F35*1.4)/100</f>
        <v>0.14</v>
      </c>
      <c r="J35" s="213">
        <f>(F35*0.2)/100</f>
        <v>0.02</v>
      </c>
      <c r="K35" s="213">
        <f>(F35*8.2)/100</f>
        <v>0.82</v>
      </c>
      <c r="L35" s="216">
        <f>(F35*41)/100</f>
        <v>4.1</v>
      </c>
      <c r="N35" s="206"/>
      <c r="O35" s="206"/>
      <c r="P35" s="206"/>
      <c r="Q35" s="207"/>
      <c r="R35" s="208"/>
      <c r="S35" s="208"/>
      <c r="T35" s="209"/>
      <c r="U35" s="210"/>
      <c r="V35" s="211"/>
      <c r="W35" s="211"/>
      <c r="X35" s="211"/>
      <c r="Y35" s="211"/>
    </row>
    <row r="36" spans="1:25" ht="12.75">
      <c r="A36" s="217" t="s">
        <v>34</v>
      </c>
      <c r="B36" s="218"/>
      <c r="C36" s="218"/>
      <c r="D36" s="219"/>
      <c r="E36" s="212">
        <v>0.015</v>
      </c>
      <c r="F36" s="213">
        <v>11</v>
      </c>
      <c r="G36" s="214">
        <v>70</v>
      </c>
      <c r="H36" s="215">
        <f>G36*E36</f>
        <v>1.05</v>
      </c>
      <c r="I36" s="213">
        <f>(F36*1.3)/100</f>
        <v>0.14300000000000002</v>
      </c>
      <c r="J36" s="213">
        <f>(F36*0.1)/100</f>
        <v>0.011000000000000001</v>
      </c>
      <c r="K36" s="213">
        <f>(F36*6.9)/100</f>
        <v>0.759</v>
      </c>
      <c r="L36" s="220">
        <f>(F36*35)/100</f>
        <v>3.85</v>
      </c>
      <c r="N36" s="221"/>
      <c r="O36" s="57"/>
      <c r="P36" s="57"/>
      <c r="Q36" s="207"/>
      <c r="R36" s="222"/>
      <c r="S36" s="223"/>
      <c r="T36" s="209"/>
      <c r="U36" s="224"/>
      <c r="V36" s="152"/>
      <c r="W36" s="152"/>
      <c r="X36" s="152"/>
      <c r="Y36" s="152"/>
    </row>
    <row r="37" spans="1:25" ht="12.75">
      <c r="A37" s="225"/>
      <c r="B37" s="226"/>
      <c r="C37" s="226"/>
      <c r="D37" s="227"/>
      <c r="E37" s="228"/>
      <c r="F37" s="229"/>
      <c r="G37" s="230"/>
      <c r="H37" s="230"/>
      <c r="I37" s="231"/>
      <c r="J37" s="231"/>
      <c r="K37" s="231"/>
      <c r="L37" s="232"/>
      <c r="N37" s="221"/>
      <c r="O37" s="57"/>
      <c r="P37" s="57"/>
      <c r="Q37" s="207"/>
      <c r="R37" s="222"/>
      <c r="S37" s="223"/>
      <c r="T37" s="209"/>
      <c r="U37" s="224"/>
      <c r="V37" s="233"/>
      <c r="W37" s="233"/>
      <c r="X37" s="233"/>
      <c r="Y37" s="233"/>
    </row>
    <row r="38" spans="1:25" ht="12.75" customHeight="1">
      <c r="A38" s="1779" t="s">
        <v>35</v>
      </c>
      <c r="B38" s="1779"/>
      <c r="C38" s="1779"/>
      <c r="D38" s="234">
        <v>180</v>
      </c>
      <c r="E38" s="235"/>
      <c r="F38" s="236"/>
      <c r="G38" s="137"/>
      <c r="H38" s="92">
        <f>SUM(H39:H44)</f>
        <v>65.09599999999999</v>
      </c>
      <c r="I38" s="140">
        <f>SUM(I39:I44)</f>
        <v>19.542</v>
      </c>
      <c r="J38" s="140">
        <f>SUM(J39:J44)</f>
        <v>20.727999999999998</v>
      </c>
      <c r="K38" s="140">
        <f>SUM(K39:K44)</f>
        <v>11.24</v>
      </c>
      <c r="L38" s="140">
        <f>SUM(L39:L44)</f>
        <v>311.69</v>
      </c>
      <c r="M38" s="26"/>
      <c r="N38" s="221"/>
      <c r="O38" s="57"/>
      <c r="P38" s="57"/>
      <c r="Q38" s="207"/>
      <c r="R38" s="222"/>
      <c r="S38" s="223"/>
      <c r="T38" s="209"/>
      <c r="U38" s="224"/>
      <c r="V38" s="237"/>
      <c r="W38" s="237"/>
      <c r="X38" s="237"/>
      <c r="Y38" s="237"/>
    </row>
    <row r="39" spans="1:25" ht="12.75">
      <c r="A39" s="238" t="s">
        <v>36</v>
      </c>
      <c r="B39" s="239"/>
      <c r="C39" s="239"/>
      <c r="D39" s="240"/>
      <c r="E39" s="241">
        <v>0.09</v>
      </c>
      <c r="F39" s="242">
        <v>85</v>
      </c>
      <c r="G39" s="243">
        <v>530</v>
      </c>
      <c r="H39" s="244">
        <f>E39*G39</f>
        <v>47.699999999999996</v>
      </c>
      <c r="I39" s="245">
        <f>(18.6*F39)/100</f>
        <v>15.810000000000002</v>
      </c>
      <c r="J39" s="245">
        <f>(16*F39)/100</f>
        <v>13.6</v>
      </c>
      <c r="K39" s="245"/>
      <c r="L39" s="246">
        <f>(218*F39)/100</f>
        <v>185.3</v>
      </c>
      <c r="M39" s="26"/>
      <c r="N39" s="221"/>
      <c r="O39" s="221"/>
      <c r="P39" s="221"/>
      <c r="Q39" s="247"/>
      <c r="R39" s="222"/>
      <c r="S39" s="223"/>
      <c r="T39" s="209"/>
      <c r="U39" s="224"/>
      <c r="V39" s="223"/>
      <c r="W39" s="223"/>
      <c r="X39" s="223"/>
      <c r="Y39" s="223"/>
    </row>
    <row r="40" spans="1:25" ht="12.75">
      <c r="A40" s="248" t="s">
        <v>16</v>
      </c>
      <c r="B40" s="249"/>
      <c r="C40" s="250"/>
      <c r="D40" s="251"/>
      <c r="E40" s="252">
        <v>0.004</v>
      </c>
      <c r="F40" s="253">
        <v>4</v>
      </c>
      <c r="G40" s="254">
        <v>300</v>
      </c>
      <c r="H40" s="255">
        <f>E40*G40</f>
        <v>1.2</v>
      </c>
      <c r="I40" s="45">
        <f>(F40*1)/100</f>
        <v>0.04</v>
      </c>
      <c r="J40" s="45">
        <f>(F40*72.5)/100</f>
        <v>2.9</v>
      </c>
      <c r="K40" s="45">
        <f>(F40*1.4)/100</f>
        <v>0.055999999999999994</v>
      </c>
      <c r="L40" s="46">
        <f>(F40*662)/100</f>
        <v>26.48</v>
      </c>
      <c r="M40" s="26"/>
      <c r="N40" s="221"/>
      <c r="O40" s="221"/>
      <c r="P40" s="221"/>
      <c r="Q40" s="247"/>
      <c r="R40" s="222"/>
      <c r="S40" s="223"/>
      <c r="T40" s="209"/>
      <c r="U40" s="224"/>
      <c r="V40" s="223"/>
      <c r="W40" s="223"/>
      <c r="X40" s="223"/>
      <c r="Y40" s="237"/>
    </row>
    <row r="41" spans="1:25" ht="12.75">
      <c r="A41" s="248" t="s">
        <v>37</v>
      </c>
      <c r="B41" s="250"/>
      <c r="C41" s="250"/>
      <c r="D41" s="251"/>
      <c r="E41" s="51">
        <v>0.004</v>
      </c>
      <c r="F41" s="256">
        <v>4</v>
      </c>
      <c r="G41" s="53">
        <v>129</v>
      </c>
      <c r="H41" s="144">
        <f>E41*G41</f>
        <v>0.516</v>
      </c>
      <c r="I41" s="257"/>
      <c r="J41" s="258">
        <f>(F41*99.9)/100</f>
        <v>3.9960000000000004</v>
      </c>
      <c r="K41" s="54"/>
      <c r="L41" s="259">
        <f>(F41*899)/100</f>
        <v>35.96</v>
      </c>
      <c r="M41" s="26"/>
      <c r="N41" s="221"/>
      <c r="O41" s="221"/>
      <c r="P41" s="221"/>
      <c r="Q41" s="247"/>
      <c r="R41" s="222"/>
      <c r="S41" s="223"/>
      <c r="T41" s="209"/>
      <c r="U41" s="224"/>
      <c r="V41" s="223"/>
      <c r="W41" s="223"/>
      <c r="X41" s="223"/>
      <c r="Y41" s="237"/>
    </row>
    <row r="42" spans="1:25" ht="12.75">
      <c r="A42" s="248" t="s">
        <v>38</v>
      </c>
      <c r="B42" s="249"/>
      <c r="C42" s="249"/>
      <c r="D42" s="260"/>
      <c r="E42" s="261">
        <v>0.22</v>
      </c>
      <c r="F42" s="262">
        <v>176</v>
      </c>
      <c r="G42" s="112">
        <v>56</v>
      </c>
      <c r="H42" s="112">
        <f>G42*E42</f>
        <v>12.32</v>
      </c>
      <c r="I42" s="111">
        <f>(1.8*F42)/100</f>
        <v>3.168</v>
      </c>
      <c r="J42" s="111">
        <f>(F42*0.1)/100</f>
        <v>0.17600000000000002</v>
      </c>
      <c r="K42" s="111">
        <f>(F42*4.7)/100</f>
        <v>8.272</v>
      </c>
      <c r="L42" s="263">
        <f>(F42*28)/100</f>
        <v>49.28</v>
      </c>
      <c r="M42" s="26"/>
      <c r="N42" s="264"/>
      <c r="O42" s="57"/>
      <c r="P42" s="57"/>
      <c r="Q42" s="208"/>
      <c r="R42" s="265"/>
      <c r="S42" s="266"/>
      <c r="T42" s="267"/>
      <c r="U42" s="267"/>
      <c r="V42" s="268"/>
      <c r="W42" s="268"/>
      <c r="X42" s="268"/>
      <c r="Y42" s="269"/>
    </row>
    <row r="43" spans="1:25" ht="12.75">
      <c r="A43" s="248" t="s">
        <v>33</v>
      </c>
      <c r="B43" s="249"/>
      <c r="C43" s="249"/>
      <c r="D43" s="260"/>
      <c r="E43" s="261">
        <v>0.02</v>
      </c>
      <c r="F43" s="262">
        <v>17</v>
      </c>
      <c r="G43" s="112">
        <v>63</v>
      </c>
      <c r="H43" s="112">
        <f>G43*E43</f>
        <v>1.26</v>
      </c>
      <c r="I43" s="204">
        <f>(F43*1.4)/100</f>
        <v>0.23799999999999996</v>
      </c>
      <c r="J43" s="204">
        <f>(F43*0.2)/100</f>
        <v>0.034</v>
      </c>
      <c r="K43" s="204">
        <f>(F43*8.2)/100</f>
        <v>1.3939999999999997</v>
      </c>
      <c r="L43" s="205">
        <f>(F43*41)/100</f>
        <v>6.97</v>
      </c>
      <c r="M43" s="26"/>
      <c r="N43" s="19"/>
      <c r="O43" s="19"/>
      <c r="P43" s="19"/>
      <c r="Q43" s="16"/>
      <c r="R43" s="270"/>
      <c r="S43" s="28"/>
      <c r="T43" s="150"/>
      <c r="U43" s="17"/>
      <c r="V43" s="133"/>
      <c r="W43" s="133"/>
      <c r="X43" s="133"/>
      <c r="Y43" s="133"/>
    </row>
    <row r="44" spans="1:25" ht="12.75">
      <c r="A44" s="248" t="s">
        <v>34</v>
      </c>
      <c r="B44" s="249"/>
      <c r="C44" s="249"/>
      <c r="D44" s="260"/>
      <c r="E44" s="271">
        <v>0.03</v>
      </c>
      <c r="F44" s="272">
        <v>22</v>
      </c>
      <c r="G44" s="273">
        <v>70</v>
      </c>
      <c r="H44" s="273">
        <f>E44*G44</f>
        <v>2.1</v>
      </c>
      <c r="I44" s="204">
        <f>(F44*1.3)/100</f>
        <v>0.28600000000000003</v>
      </c>
      <c r="J44" s="204">
        <f>(F44*0.1)/100</f>
        <v>0.022000000000000002</v>
      </c>
      <c r="K44" s="204">
        <f>(F44*6.9)/100</f>
        <v>1.518</v>
      </c>
      <c r="L44" s="274">
        <f>(F44*35)/100</f>
        <v>7.7</v>
      </c>
      <c r="M44" s="26"/>
      <c r="N44" s="275"/>
      <c r="O44" s="275"/>
      <c r="P44" s="275"/>
      <c r="Q44" s="276"/>
      <c r="R44" s="277"/>
      <c r="S44" s="278"/>
      <c r="T44" s="150"/>
      <c r="U44" s="150"/>
      <c r="V44" s="279"/>
      <c r="W44" s="279"/>
      <c r="X44" s="279"/>
      <c r="Y44" s="279"/>
    </row>
    <row r="45" spans="1:25" ht="12.75" customHeight="1">
      <c r="A45" s="1780" t="s">
        <v>39</v>
      </c>
      <c r="B45" s="1780"/>
      <c r="C45" s="1780"/>
      <c r="D45" s="281">
        <v>200</v>
      </c>
      <c r="E45" s="282"/>
      <c r="F45" s="282"/>
      <c r="G45" s="283"/>
      <c r="H45" s="284">
        <f>H46+H47</f>
        <v>5.97</v>
      </c>
      <c r="I45" s="285">
        <f>I46+I47</f>
        <v>0.78</v>
      </c>
      <c r="J45" s="285">
        <f>J46+J47</f>
        <v>0.04500000000000001</v>
      </c>
      <c r="K45" s="285">
        <f>K46+K47</f>
        <v>22.62</v>
      </c>
      <c r="L45" s="285">
        <f>L46+L47</f>
        <v>94.65</v>
      </c>
      <c r="N45" s="286"/>
      <c r="O45" s="286"/>
      <c r="P45" s="286"/>
      <c r="Q45" s="287"/>
      <c r="R45" s="270"/>
      <c r="S45" s="28"/>
      <c r="T45" s="288"/>
      <c r="U45" s="288"/>
      <c r="V45" s="269"/>
      <c r="W45" s="269"/>
      <c r="X45" s="269"/>
      <c r="Y45" s="269"/>
    </row>
    <row r="46" spans="1:25" ht="12.75">
      <c r="A46" s="68" t="s">
        <v>40</v>
      </c>
      <c r="B46" s="69"/>
      <c r="C46" s="69"/>
      <c r="D46" s="289"/>
      <c r="E46" s="77">
        <v>0.015</v>
      </c>
      <c r="F46" s="78">
        <v>15</v>
      </c>
      <c r="G46" s="79">
        <v>308</v>
      </c>
      <c r="H46" s="290">
        <f>G46*E46</f>
        <v>4.62</v>
      </c>
      <c r="I46" s="194">
        <f>(F46*5.2)/100</f>
        <v>0.78</v>
      </c>
      <c r="J46" s="194">
        <f>(0.3*F46)/100</f>
        <v>0.04500000000000001</v>
      </c>
      <c r="K46" s="194">
        <f>(F46*51)/100</f>
        <v>7.65</v>
      </c>
      <c r="L46" s="195">
        <f>(232*F46)/100</f>
        <v>34.8</v>
      </c>
      <c r="N46" s="286"/>
      <c r="O46" s="286"/>
      <c r="P46" s="286"/>
      <c r="Q46" s="287"/>
      <c r="R46" s="270"/>
      <c r="S46" s="28"/>
      <c r="T46" s="150"/>
      <c r="U46" s="150"/>
      <c r="V46" s="291"/>
      <c r="W46" s="291"/>
      <c r="X46" s="291"/>
      <c r="Y46" s="291"/>
    </row>
    <row r="47" spans="1:25" ht="12.75">
      <c r="A47" s="37" t="s">
        <v>17</v>
      </c>
      <c r="B47" s="38"/>
      <c r="C47" s="292"/>
      <c r="D47" s="293"/>
      <c r="E47" s="41">
        <v>0.015</v>
      </c>
      <c r="F47" s="42">
        <v>15</v>
      </c>
      <c r="G47" s="43">
        <v>90</v>
      </c>
      <c r="H47" s="43">
        <f>E47*G47</f>
        <v>1.3499999999999999</v>
      </c>
      <c r="I47" s="80"/>
      <c r="J47" s="80"/>
      <c r="K47" s="80">
        <f>(F47*99.8)/100</f>
        <v>14.97</v>
      </c>
      <c r="L47" s="81">
        <f>(F47*399)/100</f>
        <v>59.85</v>
      </c>
      <c r="N47" s="206"/>
      <c r="O47" s="206"/>
      <c r="P47" s="206"/>
      <c r="Q47" s="207"/>
      <c r="R47" s="57"/>
      <c r="S47" s="57"/>
      <c r="T47" s="209"/>
      <c r="U47" s="210"/>
      <c r="V47" s="211"/>
      <c r="W47" s="211"/>
      <c r="X47" s="211"/>
      <c r="Y47" s="211"/>
    </row>
    <row r="48" spans="1:25" ht="12.75">
      <c r="A48" s="1773" t="s">
        <v>41</v>
      </c>
      <c r="B48" s="1773"/>
      <c r="C48" s="1773"/>
      <c r="D48" s="20">
        <v>50</v>
      </c>
      <c r="E48" s="66">
        <v>0.05</v>
      </c>
      <c r="F48" s="21">
        <v>50</v>
      </c>
      <c r="G48" s="22">
        <v>35</v>
      </c>
      <c r="H48" s="23">
        <f>E48*G48</f>
        <v>1.75</v>
      </c>
      <c r="I48" s="294">
        <f>(6.6*F48)/100</f>
        <v>3.3</v>
      </c>
      <c r="J48" s="294">
        <f>(1.2*F48)/100</f>
        <v>0.6</v>
      </c>
      <c r="K48" s="294">
        <f>(33.4*F48)/100</f>
        <v>16.7</v>
      </c>
      <c r="L48" s="67">
        <f>(174*F48)/100</f>
        <v>87</v>
      </c>
      <c r="N48" s="221"/>
      <c r="O48" s="221"/>
      <c r="P48" s="221"/>
      <c r="Q48" s="247"/>
      <c r="R48" s="270"/>
      <c r="S48" s="28"/>
      <c r="T48" s="150"/>
      <c r="U48" s="151"/>
      <c r="V48" s="279"/>
      <c r="W48" s="279"/>
      <c r="X48" s="279"/>
      <c r="Y48" s="279"/>
    </row>
    <row r="49" spans="1:25" ht="12.75">
      <c r="A49" s="1773" t="s">
        <v>42</v>
      </c>
      <c r="B49" s="1773"/>
      <c r="C49" s="1773"/>
      <c r="D49" s="20">
        <v>30</v>
      </c>
      <c r="E49" s="66">
        <v>0.03</v>
      </c>
      <c r="F49" s="21">
        <v>30</v>
      </c>
      <c r="G49" s="22">
        <v>64</v>
      </c>
      <c r="H49" s="23">
        <f>E49*G49</f>
        <v>1.92</v>
      </c>
      <c r="I49" s="294">
        <f>(F49*8)/100</f>
        <v>2.4</v>
      </c>
      <c r="J49" s="294">
        <f>(F49*1)/100</f>
        <v>0.3</v>
      </c>
      <c r="K49" s="294">
        <f>(F49*49.1)/100</f>
        <v>14.73</v>
      </c>
      <c r="L49" s="67">
        <f>(F49*238)/100</f>
        <v>71.4</v>
      </c>
      <c r="N49" s="286"/>
      <c r="O49" s="221"/>
      <c r="P49" s="221"/>
      <c r="Q49" s="247"/>
      <c r="R49" s="270"/>
      <c r="S49" s="28"/>
      <c r="T49" s="150"/>
      <c r="U49" s="151"/>
      <c r="V49" s="233"/>
      <c r="W49" s="233"/>
      <c r="X49" s="233"/>
      <c r="Y49" s="233"/>
    </row>
    <row r="50" spans="1:12" ht="12.75">
      <c r="A50" s="27"/>
      <c r="B50" s="286"/>
      <c r="C50" s="286"/>
      <c r="D50" s="287"/>
      <c r="E50" s="28"/>
      <c r="F50" s="28"/>
      <c r="G50" s="150"/>
      <c r="H50" s="150"/>
      <c r="I50" s="152"/>
      <c r="J50" s="152"/>
      <c r="K50" s="152"/>
      <c r="L50" s="295"/>
    </row>
    <row r="51" spans="1:12" ht="15.75">
      <c r="A51" s="296"/>
      <c r="B51" s="155"/>
      <c r="C51" s="297" t="s">
        <v>43</v>
      </c>
      <c r="D51" s="298"/>
      <c r="E51" s="297"/>
      <c r="F51" s="297"/>
      <c r="G51" s="159"/>
      <c r="H51" s="159">
        <f>H49+H48+H45+H38+H30</f>
        <v>82.02699999999999</v>
      </c>
      <c r="I51" s="299"/>
      <c r="J51" s="160"/>
      <c r="K51" s="160"/>
      <c r="L51" s="161"/>
    </row>
    <row r="52" spans="1:12" ht="15.75">
      <c r="A52" s="300" t="s">
        <v>24</v>
      </c>
      <c r="B52" s="124"/>
      <c r="C52" s="124"/>
      <c r="D52" s="301"/>
      <c r="E52" s="124"/>
      <c r="F52" s="124"/>
      <c r="G52" s="302"/>
      <c r="H52" s="302"/>
      <c r="I52" s="129">
        <f>(I49+I48+I45+I38+I30)</f>
        <v>28.53</v>
      </c>
      <c r="J52" s="129">
        <f>(J49+J48+J45+J38+J30)</f>
        <v>24.203999999999997</v>
      </c>
      <c r="K52" s="129">
        <f>(K49+K48+K45+K38+K30)</f>
        <v>83.466</v>
      </c>
      <c r="L52" s="129">
        <f>(L49+L48+L45+L38+L30)</f>
        <v>670.6</v>
      </c>
    </row>
    <row r="53" spans="1:12" ht="15.75">
      <c r="A53" s="303"/>
      <c r="B53" s="303"/>
      <c r="C53" s="303"/>
      <c r="D53" s="304"/>
      <c r="E53" s="303"/>
      <c r="F53" s="303"/>
      <c r="G53" s="305"/>
      <c r="H53" s="305"/>
      <c r="I53" s="306"/>
      <c r="J53" s="306"/>
      <c r="K53" s="306"/>
      <c r="L53" s="307">
        <f>L52/1800</f>
        <v>0.3725555555555556</v>
      </c>
    </row>
    <row r="54" spans="1:12" ht="15">
      <c r="A54" s="18" t="s">
        <v>44</v>
      </c>
      <c r="B54" s="28"/>
      <c r="C54" s="308"/>
      <c r="D54" s="149"/>
      <c r="E54" s="28"/>
      <c r="F54" s="28"/>
      <c r="G54" s="28"/>
      <c r="H54" s="28"/>
      <c r="I54" s="133"/>
      <c r="J54" s="133"/>
      <c r="K54" s="150"/>
      <c r="L54" s="152"/>
    </row>
    <row r="55" spans="1:25" ht="31.5" customHeight="1">
      <c r="A55" s="309" t="s">
        <v>45</v>
      </c>
      <c r="B55" s="310"/>
      <c r="C55" s="310"/>
      <c r="D55" s="311">
        <v>110</v>
      </c>
      <c r="E55" s="312"/>
      <c r="F55" s="282"/>
      <c r="G55" s="283"/>
      <c r="H55" s="284">
        <f>SUM(H56:H58)</f>
        <v>19.319999999999997</v>
      </c>
      <c r="I55" s="285">
        <f>I56+I57+I58</f>
        <v>9.145999999999997</v>
      </c>
      <c r="J55" s="285">
        <f>J56+J57+J58</f>
        <v>11.07</v>
      </c>
      <c r="K55" s="285">
        <f>K56+K57+K58</f>
        <v>3.342</v>
      </c>
      <c r="L55" s="285">
        <f>L56+L57+L58</f>
        <v>153.54</v>
      </c>
      <c r="N55" s="313"/>
      <c r="O55" s="264"/>
      <c r="P55" s="264"/>
      <c r="Q55" s="314"/>
      <c r="R55" s="315"/>
      <c r="S55" s="266"/>
      <c r="T55" s="267"/>
      <c r="U55" s="316"/>
      <c r="V55" s="317"/>
      <c r="W55" s="317"/>
      <c r="X55" s="317"/>
      <c r="Y55" s="317"/>
    </row>
    <row r="56" spans="1:25" ht="12.75">
      <c r="A56" s="318" t="s">
        <v>18</v>
      </c>
      <c r="B56" s="319"/>
      <c r="C56" s="319"/>
      <c r="D56" s="320"/>
      <c r="E56" s="321">
        <v>0.06</v>
      </c>
      <c r="F56" s="322">
        <v>60</v>
      </c>
      <c r="G56" s="323">
        <v>72</v>
      </c>
      <c r="H56" s="324">
        <f>G56*E56</f>
        <v>4.32</v>
      </c>
      <c r="I56" s="54">
        <f>(2.9*F56)/100</f>
        <v>1.74</v>
      </c>
      <c r="J56" s="54">
        <f>(F56*2.5)/100</f>
        <v>1.5</v>
      </c>
      <c r="K56" s="54">
        <f>(4.8*F56)/100</f>
        <v>2.88</v>
      </c>
      <c r="L56" s="55">
        <f>(F56*60)/100</f>
        <v>36</v>
      </c>
      <c r="N56" s="264"/>
      <c r="O56" s="264"/>
      <c r="P56" s="264"/>
      <c r="Q56" s="325"/>
      <c r="R56" s="326"/>
      <c r="S56" s="264"/>
      <c r="T56" s="288"/>
      <c r="U56" s="288"/>
      <c r="V56" s="291"/>
      <c r="W56" s="291"/>
      <c r="X56" s="291"/>
      <c r="Y56" s="291"/>
    </row>
    <row r="57" spans="1:25" ht="12.75">
      <c r="A57" s="318" t="s">
        <v>46</v>
      </c>
      <c r="B57" s="319"/>
      <c r="C57" s="319"/>
      <c r="D57" s="320"/>
      <c r="E57" s="321">
        <v>0.06</v>
      </c>
      <c r="F57" s="322">
        <v>58</v>
      </c>
      <c r="G57" s="323">
        <v>230</v>
      </c>
      <c r="H57" s="324">
        <f>G57*E57</f>
        <v>13.799999999999999</v>
      </c>
      <c r="I57" s="258">
        <f>(12.7*F57)/100</f>
        <v>7.365999999999999</v>
      </c>
      <c r="J57" s="258">
        <f>(F57*11.5)/100</f>
        <v>6.67</v>
      </c>
      <c r="K57" s="258">
        <f>(F57*0.7)/100</f>
        <v>0.406</v>
      </c>
      <c r="L57" s="327">
        <f>(157*F57)/100</f>
        <v>91.06</v>
      </c>
      <c r="N57" s="264"/>
      <c r="O57" s="264"/>
      <c r="P57" s="264"/>
      <c r="Q57" s="325"/>
      <c r="R57" s="326"/>
      <c r="S57" s="264"/>
      <c r="T57" s="288"/>
      <c r="U57" s="288"/>
      <c r="V57" s="291"/>
      <c r="W57" s="291"/>
      <c r="X57" s="291"/>
      <c r="Y57" s="291"/>
    </row>
    <row r="58" spans="1:25" ht="12.75">
      <c r="A58" s="318" t="s">
        <v>16</v>
      </c>
      <c r="B58" s="319"/>
      <c r="C58" s="319"/>
      <c r="D58" s="320"/>
      <c r="E58" s="252">
        <v>0.004</v>
      </c>
      <c r="F58" s="253">
        <v>4</v>
      </c>
      <c r="G58" s="254">
        <v>300</v>
      </c>
      <c r="H58" s="323">
        <f>G58*E58</f>
        <v>1.2</v>
      </c>
      <c r="I58" s="45">
        <f>(F58*1)/100</f>
        <v>0.04</v>
      </c>
      <c r="J58" s="45">
        <f>(F58*72.5)/100</f>
        <v>2.9</v>
      </c>
      <c r="K58" s="45">
        <f>(F58*1.4)/100</f>
        <v>0.055999999999999994</v>
      </c>
      <c r="L58" s="46">
        <f>(F58*662)/100</f>
        <v>26.48</v>
      </c>
      <c r="N58" s="264"/>
      <c r="O58" s="264"/>
      <c r="P58" s="264"/>
      <c r="Q58" s="325"/>
      <c r="R58" s="326"/>
      <c r="S58" s="264"/>
      <c r="T58" s="288"/>
      <c r="U58" s="288"/>
      <c r="V58" s="291"/>
      <c r="W58" s="291"/>
      <c r="X58" s="291"/>
      <c r="Y58" s="291"/>
    </row>
    <row r="59" spans="1:25" ht="12.75">
      <c r="A59" s="309" t="s">
        <v>47</v>
      </c>
      <c r="B59" s="310"/>
      <c r="C59" s="328"/>
      <c r="D59" s="329">
        <v>40</v>
      </c>
      <c r="E59" s="330"/>
      <c r="F59" s="331"/>
      <c r="G59" s="105"/>
      <c r="H59" s="106">
        <f>H60+H61</f>
        <v>8.073</v>
      </c>
      <c r="I59" s="108">
        <f>I60+I61</f>
        <v>1.24</v>
      </c>
      <c r="J59" s="108">
        <f>J60+J61</f>
        <v>3.277</v>
      </c>
      <c r="K59" s="108">
        <f>K60+K61</f>
        <v>0.49959000000000003</v>
      </c>
      <c r="L59" s="108">
        <f>L60+L61</f>
        <v>27.465999999999998</v>
      </c>
      <c r="M59" s="26"/>
      <c r="N59" s="264"/>
      <c r="O59" s="264"/>
      <c r="P59" s="264"/>
      <c r="Q59" s="325"/>
      <c r="R59" s="326"/>
      <c r="S59" s="264"/>
      <c r="T59" s="288"/>
      <c r="U59" s="288"/>
      <c r="V59" s="332"/>
      <c r="W59" s="332"/>
      <c r="X59" s="332"/>
      <c r="Y59" s="332"/>
    </row>
    <row r="60" spans="1:25" ht="12.75">
      <c r="A60" s="333" t="s">
        <v>47</v>
      </c>
      <c r="B60" s="334"/>
      <c r="C60" s="334"/>
      <c r="D60" s="335"/>
      <c r="E60" s="336">
        <v>0.054900000000000004</v>
      </c>
      <c r="F60" s="54">
        <v>40</v>
      </c>
      <c r="G60" s="337">
        <v>140</v>
      </c>
      <c r="H60" s="145">
        <f>G60*E60</f>
        <v>7.686000000000001</v>
      </c>
      <c r="I60" s="338">
        <f>(F60*3.1)/100</f>
        <v>1.24</v>
      </c>
      <c r="J60" s="338">
        <f>(G60*0.2)/100</f>
        <v>0.28</v>
      </c>
      <c r="K60" s="338">
        <f>(H60*6.5)/100</f>
        <v>0.49959000000000003</v>
      </c>
      <c r="L60" s="339">
        <f>(I60*40)/100</f>
        <v>0.496</v>
      </c>
      <c r="M60" s="26"/>
      <c r="N60" s="264"/>
      <c r="O60" s="264"/>
      <c r="P60" s="264"/>
      <c r="Q60" s="325"/>
      <c r="R60" s="315"/>
      <c r="S60" s="266"/>
      <c r="T60" s="267"/>
      <c r="U60" s="288"/>
      <c r="V60" s="233"/>
      <c r="W60" s="233"/>
      <c r="X60" s="233"/>
      <c r="Y60" s="233"/>
    </row>
    <row r="61" spans="1:13" ht="12.75" customHeight="1">
      <c r="A61" s="340" t="s">
        <v>37</v>
      </c>
      <c r="B61" s="341"/>
      <c r="C61" s="250"/>
      <c r="D61" s="342"/>
      <c r="E61" s="252">
        <v>0.003</v>
      </c>
      <c r="F61" s="253">
        <v>3</v>
      </c>
      <c r="G61" s="254">
        <v>129</v>
      </c>
      <c r="H61" s="324">
        <f>G61*E61</f>
        <v>0.387</v>
      </c>
      <c r="I61" s="257"/>
      <c r="J61" s="258">
        <f>(F61*99.9)/100</f>
        <v>2.9970000000000003</v>
      </c>
      <c r="K61" s="54"/>
      <c r="L61" s="259">
        <f>(F61*899)/100</f>
        <v>26.97</v>
      </c>
      <c r="M61" s="26"/>
    </row>
    <row r="62" spans="1:13" ht="12.75">
      <c r="A62" s="309" t="s">
        <v>48</v>
      </c>
      <c r="B62" s="310"/>
      <c r="C62" s="310"/>
      <c r="D62" s="65">
        <v>30</v>
      </c>
      <c r="E62" s="66">
        <v>0.03</v>
      </c>
      <c r="F62" s="21">
        <v>30</v>
      </c>
      <c r="G62" s="22">
        <v>64</v>
      </c>
      <c r="H62" s="23">
        <f>G62*E62</f>
        <v>1.92</v>
      </c>
      <c r="I62" s="343">
        <f>(F62*8)/100</f>
        <v>2.4</v>
      </c>
      <c r="J62" s="343">
        <f>(F62*1)/100</f>
        <v>0.3</v>
      </c>
      <c r="K62" s="343">
        <f>(F62*49.1)/100</f>
        <v>14.73</v>
      </c>
      <c r="L62" s="344">
        <f>(F62*238)/100</f>
        <v>71.4</v>
      </c>
      <c r="M62" s="345"/>
    </row>
    <row r="63" spans="1:13" ht="12.75">
      <c r="A63" s="1781" t="s">
        <v>49</v>
      </c>
      <c r="B63" s="1781"/>
      <c r="C63" s="1781"/>
      <c r="D63" s="347">
        <v>200</v>
      </c>
      <c r="E63" s="178"/>
      <c r="F63" s="180"/>
      <c r="G63" s="180"/>
      <c r="H63" s="348">
        <f>H64+H65</f>
        <v>1.3488000000000002</v>
      </c>
      <c r="I63" s="181">
        <f>SUM(I64:I65)</f>
        <v>0</v>
      </c>
      <c r="J63" s="181">
        <f>SUM(J64:J65)</f>
        <v>0</v>
      </c>
      <c r="K63" s="181">
        <f>SUM(K64:K65)</f>
        <v>11.975999999999999</v>
      </c>
      <c r="L63" s="349">
        <f>SUM(L64:L65)</f>
        <v>47.88</v>
      </c>
      <c r="M63" s="345"/>
    </row>
    <row r="64" spans="1:13" ht="12.75">
      <c r="A64" s="1782" t="s">
        <v>20</v>
      </c>
      <c r="B64" s="1782"/>
      <c r="C64" s="1782"/>
      <c r="D64" s="351"/>
      <c r="E64" s="72">
        <v>0.0006000000000000001</v>
      </c>
      <c r="F64" s="352">
        <v>0.6</v>
      </c>
      <c r="G64" s="74">
        <v>448</v>
      </c>
      <c r="H64" s="75">
        <f>G64*E64</f>
        <v>0.26880000000000004</v>
      </c>
      <c r="I64" s="75"/>
      <c r="J64" s="75"/>
      <c r="K64" s="75"/>
      <c r="L64" s="353"/>
      <c r="M64" s="345"/>
    </row>
    <row r="65" spans="1:13" ht="12.75">
      <c r="A65" s="354" t="s">
        <v>17</v>
      </c>
      <c r="B65" s="355"/>
      <c r="C65" s="355"/>
      <c r="D65" s="356"/>
      <c r="E65" s="82">
        <v>0.012</v>
      </c>
      <c r="F65" s="357">
        <v>12</v>
      </c>
      <c r="G65" s="84">
        <v>90</v>
      </c>
      <c r="H65" s="358">
        <f>G65*E65</f>
        <v>1.08</v>
      </c>
      <c r="I65" s="358"/>
      <c r="J65" s="358"/>
      <c r="K65" s="358">
        <f>(F65*99.8)/100</f>
        <v>11.975999999999999</v>
      </c>
      <c r="L65" s="359">
        <f>(F65*399)/100</f>
        <v>47.88</v>
      </c>
      <c r="M65" s="345"/>
    </row>
    <row r="66" spans="1:13" ht="12.75">
      <c r="A66" s="360"/>
      <c r="B66" s="328"/>
      <c r="C66" s="328"/>
      <c r="D66" s="361"/>
      <c r="E66" s="362"/>
      <c r="F66" s="363"/>
      <c r="G66" s="364"/>
      <c r="H66" s="365"/>
      <c r="I66" s="329"/>
      <c r="J66" s="107"/>
      <c r="K66" s="366"/>
      <c r="L66" s="108"/>
      <c r="M66" s="345"/>
    </row>
    <row r="67" spans="1:13" ht="15.75">
      <c r="A67" s="367"/>
      <c r="B67" s="368"/>
      <c r="C67" s="369" t="s">
        <v>50</v>
      </c>
      <c r="D67" s="117"/>
      <c r="E67" s="370"/>
      <c r="F67" s="370"/>
      <c r="G67" s="371"/>
      <c r="H67" s="119">
        <f>H63+H62+H59+H55</f>
        <v>30.6618</v>
      </c>
      <c r="I67" s="370"/>
      <c r="J67" s="372"/>
      <c r="K67" s="370"/>
      <c r="L67" s="373"/>
      <c r="M67" s="345"/>
    </row>
    <row r="68" spans="1:12" ht="12.75">
      <c r="A68" s="374"/>
      <c r="B68" s="375"/>
      <c r="C68" s="376" t="s">
        <v>24</v>
      </c>
      <c r="D68" s="377"/>
      <c r="E68" s="378"/>
      <c r="F68" s="378"/>
      <c r="G68" s="379"/>
      <c r="H68" s="379"/>
      <c r="I68" s="378"/>
      <c r="J68" s="380"/>
      <c r="K68" s="378"/>
      <c r="L68" s="381"/>
    </row>
    <row r="69" spans="1:12" ht="12.75">
      <c r="A69" s="382"/>
      <c r="C69" s="383"/>
      <c r="D69" s="384"/>
      <c r="E69" s="383"/>
      <c r="F69" s="383"/>
      <c r="G69" s="385"/>
      <c r="H69" s="385"/>
      <c r="I69" s="197"/>
      <c r="J69" s="386"/>
      <c r="K69" s="197"/>
      <c r="L69" s="387"/>
    </row>
    <row r="70" spans="1:12" ht="12.75">
      <c r="A70" s="388" t="s">
        <v>24</v>
      </c>
      <c r="B70" s="389"/>
      <c r="C70" s="390"/>
      <c r="D70" s="391"/>
      <c r="E70" s="390"/>
      <c r="F70" s="390"/>
      <c r="G70" s="392"/>
      <c r="H70" s="392"/>
      <c r="I70" s="393">
        <f>I63+I62+I59+I55</f>
        <v>12.785999999999998</v>
      </c>
      <c r="J70" s="393">
        <f>J63+J62+J59+J55</f>
        <v>14.647</v>
      </c>
      <c r="K70" s="393">
        <f>K63+K62+K59+K55</f>
        <v>30.54759</v>
      </c>
      <c r="L70" s="393">
        <f>L63+L62+L59+L55</f>
        <v>300.286</v>
      </c>
    </row>
    <row r="71" spans="1:12" ht="12.75">
      <c r="A71" s="394" t="s">
        <v>51</v>
      </c>
      <c r="B71" s="395"/>
      <c r="C71" s="395"/>
      <c r="D71" s="12"/>
      <c r="E71" s="396">
        <v>0.01</v>
      </c>
      <c r="F71" s="218" t="s">
        <v>52</v>
      </c>
      <c r="G71" s="397">
        <v>20</v>
      </c>
      <c r="H71" s="13">
        <f>E71*G71</f>
        <v>0.2</v>
      </c>
      <c r="I71" s="398"/>
      <c r="J71" s="399"/>
      <c r="K71" s="398"/>
      <c r="L71" s="400">
        <f>L70/1800</f>
        <v>0.16682555555555556</v>
      </c>
    </row>
    <row r="72" spans="1:12" ht="12.75">
      <c r="A72" s="401"/>
      <c r="B72" s="398"/>
      <c r="C72" s="395"/>
      <c r="D72" s="12"/>
      <c r="E72" s="395"/>
      <c r="F72" s="395"/>
      <c r="G72" s="13"/>
      <c r="H72" s="13"/>
      <c r="I72" s="398"/>
      <c r="J72" s="399"/>
      <c r="K72" s="398"/>
      <c r="L72" s="402"/>
    </row>
    <row r="73" spans="1:12" ht="15.75">
      <c r="A73" s="403"/>
      <c r="B73" s="404"/>
      <c r="C73" s="405" t="s">
        <v>53</v>
      </c>
      <c r="D73" s="406"/>
      <c r="E73" s="404"/>
      <c r="F73" s="405"/>
      <c r="G73" s="407"/>
      <c r="H73" s="407">
        <f>H71+H67+H51+H26+H20</f>
        <v>137.5376</v>
      </c>
      <c r="I73" s="408"/>
      <c r="J73" s="409"/>
      <c r="K73" s="408"/>
      <c r="L73" s="410"/>
    </row>
    <row r="74" spans="1:12" ht="12.75">
      <c r="A74" s="411"/>
      <c r="B74" s="49"/>
      <c r="C74" s="412"/>
      <c r="D74" s="413"/>
      <c r="E74" s="414"/>
      <c r="F74" s="48" t="s">
        <v>24</v>
      </c>
      <c r="G74" s="415"/>
      <c r="H74" s="415"/>
      <c r="I74" s="49"/>
      <c r="J74" s="416"/>
      <c r="K74" s="49"/>
      <c r="L74" s="417"/>
    </row>
    <row r="75" spans="1:12" ht="12.75">
      <c r="A75" s="418" t="s">
        <v>54</v>
      </c>
      <c r="B75" s="419"/>
      <c r="C75" s="390"/>
      <c r="D75" s="391"/>
      <c r="E75" s="390"/>
      <c r="F75" s="390"/>
      <c r="G75" s="392"/>
      <c r="H75" s="392"/>
      <c r="I75" s="420">
        <f>I70+I52+I27</f>
        <v>49.276</v>
      </c>
      <c r="J75" s="420">
        <f>J70+J52++J27</f>
        <v>48.385999999999996</v>
      </c>
      <c r="K75" s="420">
        <f>K70+K52++K27</f>
        <v>176.35159</v>
      </c>
      <c r="L75" s="420">
        <f>L70+L52+L27</f>
        <v>1353.0259999999998</v>
      </c>
    </row>
    <row r="76" spans="1:12" ht="12.75">
      <c r="A76" s="421"/>
      <c r="B76" s="422"/>
      <c r="C76" s="421"/>
      <c r="D76" s="423"/>
      <c r="E76" s="421"/>
      <c r="F76" s="421"/>
      <c r="G76" s="424"/>
      <c r="H76" s="424"/>
      <c r="I76" s="425"/>
      <c r="J76" s="424"/>
      <c r="K76" s="426"/>
      <c r="L76" s="307">
        <f>L75/1800</f>
        <v>0.751681111111111</v>
      </c>
    </row>
    <row r="77" spans="1:12" ht="12.75">
      <c r="A77" s="421"/>
      <c r="B77" s="422"/>
      <c r="C77" s="421"/>
      <c r="D77" s="423"/>
      <c r="E77" s="421"/>
      <c r="F77" s="421"/>
      <c r="G77" s="424"/>
      <c r="H77" s="424"/>
      <c r="I77" s="425"/>
      <c r="J77" s="424"/>
      <c r="K77" s="426"/>
      <c r="L77" s="307"/>
    </row>
    <row r="78" spans="1:12" ht="12.75">
      <c r="A78" s="421"/>
      <c r="B78" s="422"/>
      <c r="C78" s="421"/>
      <c r="D78" s="423"/>
      <c r="E78" s="421"/>
      <c r="F78" s="421"/>
      <c r="G78" s="424"/>
      <c r="H78" s="424"/>
      <c r="I78" s="425"/>
      <c r="J78" s="424"/>
      <c r="K78" s="426"/>
      <c r="L78" s="307"/>
    </row>
    <row r="79" spans="1:12" ht="12.75">
      <c r="A79" s="421"/>
      <c r="B79" s="422"/>
      <c r="C79" s="421"/>
      <c r="D79" s="423"/>
      <c r="E79" s="421"/>
      <c r="F79" s="421"/>
      <c r="G79" s="424"/>
      <c r="H79" s="424"/>
      <c r="I79" s="425"/>
      <c r="J79" s="424"/>
      <c r="K79" s="426"/>
      <c r="L79" s="307"/>
    </row>
    <row r="80" spans="1:12" ht="12.75">
      <c r="A80" s="421"/>
      <c r="B80" s="422"/>
      <c r="C80" s="421"/>
      <c r="D80" s="423"/>
      <c r="E80" s="421"/>
      <c r="F80" s="421"/>
      <c r="G80" s="424"/>
      <c r="H80" s="424"/>
      <c r="I80" s="425"/>
      <c r="J80" s="424"/>
      <c r="K80" s="426"/>
      <c r="L80" s="307"/>
    </row>
    <row r="81" spans="1:12" ht="12.75">
      <c r="A81" s="421"/>
      <c r="B81" s="422"/>
      <c r="C81" s="421"/>
      <c r="D81" s="423"/>
      <c r="E81" s="421"/>
      <c r="F81" s="421"/>
      <c r="G81" s="424"/>
      <c r="H81" s="424"/>
      <c r="I81" s="425"/>
      <c r="J81" s="424"/>
      <c r="K81" s="426"/>
      <c r="L81" s="307"/>
    </row>
    <row r="82" spans="1:12" ht="12.75">
      <c r="A82" s="421"/>
      <c r="B82" s="422"/>
      <c r="C82" s="421"/>
      <c r="D82" s="423"/>
      <c r="E82" s="421"/>
      <c r="F82" s="421"/>
      <c r="G82" s="424"/>
      <c r="H82" s="424"/>
      <c r="I82" s="425"/>
      <c r="J82" s="424"/>
      <c r="K82" s="426"/>
      <c r="L82" s="307"/>
    </row>
    <row r="83" spans="1:12" ht="12.75">
      <c r="A83" s="421"/>
      <c r="B83" s="422"/>
      <c r="C83" s="421"/>
      <c r="D83" s="423"/>
      <c r="E83" s="421"/>
      <c r="F83" s="421"/>
      <c r="G83" s="424"/>
      <c r="H83" s="424"/>
      <c r="I83" s="425"/>
      <c r="J83" s="424"/>
      <c r="K83" s="426"/>
      <c r="L83" s="307"/>
    </row>
    <row r="84" spans="1:12" ht="12.75">
      <c r="A84" s="421"/>
      <c r="B84" s="422"/>
      <c r="C84" s="421"/>
      <c r="D84" s="423"/>
      <c r="E84" s="421"/>
      <c r="F84" s="421"/>
      <c r="G84" s="424"/>
      <c r="H84" s="424"/>
      <c r="I84" s="425"/>
      <c r="J84" s="424"/>
      <c r="K84" s="426"/>
      <c r="L84" s="307"/>
    </row>
    <row r="85" spans="1:12" ht="12.75">
      <c r="A85" s="421"/>
      <c r="B85" s="422"/>
      <c r="C85" s="421"/>
      <c r="D85" s="423"/>
      <c r="E85" s="421"/>
      <c r="F85" s="421"/>
      <c r="G85" s="424"/>
      <c r="H85" s="424"/>
      <c r="I85" s="425"/>
      <c r="J85" s="424"/>
      <c r="K85" s="426"/>
      <c r="L85" s="307"/>
    </row>
    <row r="86" spans="1:12" ht="12.75">
      <c r="A86" s="421"/>
      <c r="B86" s="422"/>
      <c r="C86" s="421"/>
      <c r="D86" s="423"/>
      <c r="E86" s="421"/>
      <c r="F86" s="421"/>
      <c r="G86" s="424"/>
      <c r="H86" s="424"/>
      <c r="I86" s="425"/>
      <c r="J86" s="424"/>
      <c r="K86" s="426"/>
      <c r="L86" s="307"/>
    </row>
    <row r="87" spans="1:12" ht="12.75">
      <c r="A87" s="421"/>
      <c r="B87" s="422"/>
      <c r="C87" s="421"/>
      <c r="D87" s="423"/>
      <c r="E87" s="421"/>
      <c r="F87" s="421"/>
      <c r="G87" s="424"/>
      <c r="H87" s="424"/>
      <c r="I87" s="425"/>
      <c r="J87" s="424"/>
      <c r="K87" s="426"/>
      <c r="L87" s="307"/>
    </row>
    <row r="88" spans="1:12" ht="12.75">
      <c r="A88" s="421"/>
      <c r="B88" s="422"/>
      <c r="C88" s="421"/>
      <c r="D88" s="423"/>
      <c r="E88" s="421"/>
      <c r="F88" s="421"/>
      <c r="G88" s="424"/>
      <c r="H88" s="424"/>
      <c r="I88" s="425"/>
      <c r="J88" s="424"/>
      <c r="K88" s="426"/>
      <c r="L88" s="307"/>
    </row>
    <row r="89" spans="1:12" ht="12.75">
      <c r="A89" s="421"/>
      <c r="B89" s="422"/>
      <c r="C89" s="421"/>
      <c r="D89" s="423"/>
      <c r="E89" s="421"/>
      <c r="F89" s="421"/>
      <c r="G89" s="424"/>
      <c r="H89" s="424"/>
      <c r="I89" s="425"/>
      <c r="J89" s="424"/>
      <c r="K89" s="426"/>
      <c r="L89" s="307"/>
    </row>
    <row r="90" spans="1:12" ht="12.75">
      <c r="A90" s="421"/>
      <c r="B90" s="422"/>
      <c r="C90" s="421"/>
      <c r="D90" s="423"/>
      <c r="E90" s="421"/>
      <c r="F90" s="421"/>
      <c r="G90" s="424"/>
      <c r="H90" s="424"/>
      <c r="I90" s="425"/>
      <c r="J90" s="424"/>
      <c r="K90" s="426"/>
      <c r="L90" s="307"/>
    </row>
    <row r="91" spans="1:12" ht="12.75">
      <c r="A91" s="421"/>
      <c r="B91" s="422"/>
      <c r="C91" s="421"/>
      <c r="D91" s="423"/>
      <c r="E91" s="421"/>
      <c r="F91" s="421"/>
      <c r="G91" s="424"/>
      <c r="H91" s="424"/>
      <c r="I91" s="425"/>
      <c r="J91" s="424"/>
      <c r="K91" s="426"/>
      <c r="L91" s="307"/>
    </row>
    <row r="92" spans="1:12" ht="12.75">
      <c r="A92" s="421"/>
      <c r="B92" s="422"/>
      <c r="C92" s="421"/>
      <c r="D92" s="423"/>
      <c r="E92" s="421"/>
      <c r="F92" s="421"/>
      <c r="G92" s="424"/>
      <c r="H92" s="424"/>
      <c r="I92" s="425"/>
      <c r="J92" s="424"/>
      <c r="K92" s="426"/>
      <c r="L92" s="307"/>
    </row>
    <row r="93" spans="1:12" ht="12.75">
      <c r="A93" s="421"/>
      <c r="B93" s="422"/>
      <c r="C93" s="421"/>
      <c r="D93" s="423"/>
      <c r="E93" s="421"/>
      <c r="F93" s="421"/>
      <c r="G93" s="424"/>
      <c r="H93" s="424"/>
      <c r="I93" s="425"/>
      <c r="J93" s="424"/>
      <c r="K93" s="426"/>
      <c r="L93" s="307"/>
    </row>
    <row r="94" spans="1:12" ht="12.75">
      <c r="A94" s="421"/>
      <c r="B94" s="422"/>
      <c r="C94" s="421"/>
      <c r="D94" s="423"/>
      <c r="E94" s="421"/>
      <c r="F94" s="421"/>
      <c r="G94" s="424"/>
      <c r="H94" s="424"/>
      <c r="I94" s="425"/>
      <c r="J94" s="424"/>
      <c r="K94" s="426"/>
      <c r="L94" s="307"/>
    </row>
    <row r="95" spans="1:12" ht="12.75">
      <c r="A95" s="421"/>
      <c r="B95" s="422"/>
      <c r="C95" s="421"/>
      <c r="D95" s="423"/>
      <c r="E95" s="421"/>
      <c r="F95" s="421"/>
      <c r="G95" s="424"/>
      <c r="H95" s="424"/>
      <c r="I95" s="425"/>
      <c r="J95" s="424"/>
      <c r="K95" s="426"/>
      <c r="L95" s="307"/>
    </row>
    <row r="96" spans="1:12" ht="12.75">
      <c r="A96" s="421"/>
      <c r="B96" s="422"/>
      <c r="C96" s="421"/>
      <c r="D96" s="423"/>
      <c r="E96" s="421"/>
      <c r="F96" s="421"/>
      <c r="G96" s="424"/>
      <c r="H96" s="424"/>
      <c r="I96" s="425"/>
      <c r="J96" s="424"/>
      <c r="K96" s="426"/>
      <c r="L96" s="424"/>
    </row>
    <row r="97" spans="1:12" ht="15">
      <c r="A97" s="1"/>
      <c r="B97" s="1"/>
      <c r="C97" s="1"/>
      <c r="D97" s="427"/>
      <c r="E97" s="1"/>
      <c r="F97" s="1"/>
      <c r="G97" s="2"/>
      <c r="H97" s="2"/>
      <c r="I97" s="3" t="s">
        <v>55</v>
      </c>
      <c r="J97" s="1783"/>
      <c r="K97" s="1783"/>
      <c r="L97" s="1783"/>
    </row>
    <row r="98" spans="4:12" ht="12.75">
      <c r="D98" s="427" t="s">
        <v>1</v>
      </c>
      <c r="G98" s="5"/>
      <c r="H98" s="5"/>
      <c r="J98" s="4"/>
      <c r="L98" s="4"/>
    </row>
    <row r="99" spans="1:12" ht="25.5">
      <c r="A99" s="1772" t="s">
        <v>2</v>
      </c>
      <c r="B99" s="1772"/>
      <c r="C99" s="1772"/>
      <c r="D99" s="6" t="s">
        <v>3</v>
      </c>
      <c r="E99" s="7" t="s">
        <v>4</v>
      </c>
      <c r="F99" s="7" t="s">
        <v>5</v>
      </c>
      <c r="G99" s="8" t="s">
        <v>6</v>
      </c>
      <c r="H99" s="9" t="s">
        <v>56</v>
      </c>
      <c r="I99" s="7" t="s">
        <v>8</v>
      </c>
      <c r="J99" s="7" t="s">
        <v>9</v>
      </c>
      <c r="K99" s="10" t="s">
        <v>10</v>
      </c>
      <c r="L99" s="7" t="s">
        <v>11</v>
      </c>
    </row>
    <row r="100" spans="1:12" ht="12.75">
      <c r="A100" s="1772"/>
      <c r="B100" s="1772"/>
      <c r="C100" s="1772"/>
      <c r="D100" s="428"/>
      <c r="E100" s="12"/>
      <c r="F100" s="12"/>
      <c r="G100" s="13"/>
      <c r="H100" s="13"/>
      <c r="I100" s="12" t="s">
        <v>12</v>
      </c>
      <c r="J100" s="12"/>
      <c r="K100" s="12"/>
      <c r="L100" s="14"/>
    </row>
    <row r="101" spans="1:12" ht="12.75">
      <c r="A101" s="15"/>
      <c r="B101" s="15"/>
      <c r="C101" s="15"/>
      <c r="D101" s="16"/>
      <c r="E101" s="16"/>
      <c r="F101" s="16"/>
      <c r="G101" s="17"/>
      <c r="H101" s="17"/>
      <c r="I101" s="16"/>
      <c r="J101" s="16"/>
      <c r="K101" s="16"/>
      <c r="L101" s="16"/>
    </row>
    <row r="102" spans="1:12" ht="12.75">
      <c r="A102" s="17"/>
      <c r="B102" s="16" t="s">
        <v>57</v>
      </c>
      <c r="C102" s="16" t="s">
        <v>58</v>
      </c>
      <c r="D102" s="16"/>
      <c r="E102" s="19"/>
      <c r="F102" s="19"/>
      <c r="G102" s="17"/>
      <c r="H102" s="17"/>
      <c r="I102" s="16"/>
      <c r="J102" s="16"/>
      <c r="K102" s="19"/>
      <c r="L102" s="16"/>
    </row>
    <row r="103" spans="1:13" ht="12.75">
      <c r="A103" s="1780" t="s">
        <v>59</v>
      </c>
      <c r="B103" s="1780"/>
      <c r="C103" s="1780"/>
      <c r="D103" s="281">
        <v>200</v>
      </c>
      <c r="E103" s="282"/>
      <c r="F103" s="282"/>
      <c r="G103" s="283"/>
      <c r="H103" s="284">
        <f>H104+H105+H107+H106</f>
        <v>13.939999999999998</v>
      </c>
      <c r="I103" s="285">
        <f>I104+I105+I106+I107</f>
        <v>6.699999999999999</v>
      </c>
      <c r="J103" s="285">
        <f>J104+J105+J106+J107</f>
        <v>8.035</v>
      </c>
      <c r="K103" s="285">
        <f>K104+K105+K106+K107</f>
        <v>24.562</v>
      </c>
      <c r="L103" s="285">
        <f>L104+L105+L106+L107</f>
        <v>207.46</v>
      </c>
      <c r="M103" s="345"/>
    </row>
    <row r="104" spans="1:13" ht="12.75">
      <c r="A104" s="56" t="s">
        <v>18</v>
      </c>
      <c r="B104" s="57"/>
      <c r="C104" s="57"/>
      <c r="D104" s="58"/>
      <c r="E104" s="59">
        <v>0.15</v>
      </c>
      <c r="F104" s="60">
        <v>150</v>
      </c>
      <c r="G104" s="61">
        <v>72</v>
      </c>
      <c r="H104" s="62">
        <f>E104*G104</f>
        <v>10.799999999999999</v>
      </c>
      <c r="I104" s="63">
        <f>(2.9*F104)/100</f>
        <v>4.35</v>
      </c>
      <c r="J104" s="63">
        <f>(F104*2.5)/100</f>
        <v>3.75</v>
      </c>
      <c r="K104" s="63">
        <f>(4.8*F104)/100</f>
        <v>7.2</v>
      </c>
      <c r="L104" s="64">
        <f>(F104*60)/100</f>
        <v>90</v>
      </c>
      <c r="M104" s="345"/>
    </row>
    <row r="105" spans="1:12" ht="12.75">
      <c r="A105" s="429" t="s">
        <v>16</v>
      </c>
      <c r="B105" s="430"/>
      <c r="C105" s="431"/>
      <c r="D105" s="432"/>
      <c r="E105" s="433">
        <v>0.005</v>
      </c>
      <c r="F105" s="434">
        <v>5</v>
      </c>
      <c r="G105" s="32">
        <v>300</v>
      </c>
      <c r="H105" s="33">
        <f>E105*G105</f>
        <v>1.5</v>
      </c>
      <c r="I105" s="45">
        <f>(F105*1)/100</f>
        <v>0.05</v>
      </c>
      <c r="J105" s="45">
        <f>(F105*72.5)/100</f>
        <v>3.625</v>
      </c>
      <c r="K105" s="45">
        <f>(F105*1.4)/100</f>
        <v>0.07</v>
      </c>
      <c r="L105" s="46">
        <f>(F105*662)/100</f>
        <v>33.1</v>
      </c>
    </row>
    <row r="106" spans="1:12" ht="12.75">
      <c r="A106" s="429" t="s">
        <v>60</v>
      </c>
      <c r="B106" s="430"/>
      <c r="C106" s="431"/>
      <c r="D106" s="432"/>
      <c r="E106" s="433">
        <v>0.02</v>
      </c>
      <c r="F106" s="434">
        <v>20</v>
      </c>
      <c r="G106" s="32">
        <v>64</v>
      </c>
      <c r="H106" s="33">
        <f>E106*G106</f>
        <v>1.28</v>
      </c>
      <c r="I106" s="435">
        <f>(F106*11.5)/100</f>
        <v>2.3</v>
      </c>
      <c r="J106" s="435">
        <f>(F106*3.3)/100</f>
        <v>0.66</v>
      </c>
      <c r="K106" s="435">
        <f>(66.5*F106)/100</f>
        <v>13.3</v>
      </c>
      <c r="L106" s="436">
        <f>(342*F106)/100</f>
        <v>68.4</v>
      </c>
    </row>
    <row r="107" spans="1:12" ht="12.75">
      <c r="A107" s="437" t="s">
        <v>17</v>
      </c>
      <c r="B107" s="438"/>
      <c r="C107" s="439"/>
      <c r="D107" s="440"/>
      <c r="E107" s="441">
        <v>0.004</v>
      </c>
      <c r="F107" s="442">
        <v>4</v>
      </c>
      <c r="G107" s="443">
        <v>90</v>
      </c>
      <c r="H107" s="444">
        <f>E107*G107</f>
        <v>0.36</v>
      </c>
      <c r="I107" s="358"/>
      <c r="J107" s="358"/>
      <c r="K107" s="358">
        <f>(F107*99.8)/100</f>
        <v>3.992</v>
      </c>
      <c r="L107" s="359">
        <f>(F107*399)/100</f>
        <v>15.96</v>
      </c>
    </row>
    <row r="108" spans="1:12" ht="12.75">
      <c r="A108" s="1773" t="s">
        <v>61</v>
      </c>
      <c r="B108" s="1773"/>
      <c r="C108" s="1773"/>
      <c r="D108" s="65">
        <v>200</v>
      </c>
      <c r="E108" s="178"/>
      <c r="F108" s="178"/>
      <c r="G108" s="180"/>
      <c r="H108" s="348">
        <f>H109+H110+H111</f>
        <v>16.740000000000002</v>
      </c>
      <c r="I108" s="445">
        <f>SUM(I109:I111)</f>
        <v>5.8</v>
      </c>
      <c r="J108" s="181">
        <f>SUM(J109:J111)</f>
        <v>5</v>
      </c>
      <c r="K108" s="445">
        <f>SUM(K109:K111)</f>
        <v>21.576</v>
      </c>
      <c r="L108" s="349">
        <f>SUM(L109:L111)</f>
        <v>167.88</v>
      </c>
    </row>
    <row r="109" spans="1:12" ht="12.75">
      <c r="A109" s="27" t="s">
        <v>62</v>
      </c>
      <c r="B109" s="286"/>
      <c r="C109" s="28"/>
      <c r="D109" s="71"/>
      <c r="E109" s="30">
        <v>0.002</v>
      </c>
      <c r="F109" s="31">
        <v>2</v>
      </c>
      <c r="G109" s="446">
        <v>630</v>
      </c>
      <c r="H109" s="447">
        <f>E109*G109</f>
        <v>1.26</v>
      </c>
      <c r="I109" s="31"/>
      <c r="J109" s="63"/>
      <c r="K109" s="31"/>
      <c r="L109" s="64"/>
    </row>
    <row r="110" spans="1:12" ht="12.75">
      <c r="A110" s="217" t="s">
        <v>17</v>
      </c>
      <c r="B110" s="218"/>
      <c r="C110" s="398"/>
      <c r="D110" s="71"/>
      <c r="E110" s="448">
        <v>0.012</v>
      </c>
      <c r="F110" s="449">
        <v>12</v>
      </c>
      <c r="G110" s="447">
        <v>90</v>
      </c>
      <c r="H110" s="447">
        <f>E110*G110</f>
        <v>1.08</v>
      </c>
      <c r="I110" s="80"/>
      <c r="J110" s="80"/>
      <c r="K110" s="80">
        <f>(F110*99.8)/100</f>
        <v>11.975999999999999</v>
      </c>
      <c r="L110" s="81">
        <f>(F110*399)/100</f>
        <v>47.88</v>
      </c>
    </row>
    <row r="111" spans="1:12" ht="12.75">
      <c r="A111" s="37" t="s">
        <v>18</v>
      </c>
      <c r="B111" s="38"/>
      <c r="C111" s="39"/>
      <c r="D111" s="71"/>
      <c r="E111" s="41">
        <v>0.2</v>
      </c>
      <c r="F111" s="42">
        <v>200</v>
      </c>
      <c r="G111" s="43">
        <v>72</v>
      </c>
      <c r="H111" s="447">
        <f>E111*G111</f>
        <v>14.4</v>
      </c>
      <c r="I111" s="63">
        <f>(2.9*F111)/100</f>
        <v>5.8</v>
      </c>
      <c r="J111" s="63">
        <f>(F111*2.5)/100</f>
        <v>5</v>
      </c>
      <c r="K111" s="63">
        <f>(4.8*F111)/100</f>
        <v>9.6</v>
      </c>
      <c r="L111" s="64">
        <f>(F111*60)/100</f>
        <v>120</v>
      </c>
    </row>
    <row r="112" spans="1:12" ht="12.75">
      <c r="A112" s="1773" t="s">
        <v>63</v>
      </c>
      <c r="B112" s="1773"/>
      <c r="C112" s="1773"/>
      <c r="D112" s="450" t="s">
        <v>64</v>
      </c>
      <c r="E112" s="66"/>
      <c r="F112" s="21"/>
      <c r="G112" s="22"/>
      <c r="H112" s="23">
        <f>H113+H114</f>
        <v>7.199999999999999</v>
      </c>
      <c r="I112" s="294">
        <f>SUM(I113:I115)</f>
        <v>4.96</v>
      </c>
      <c r="J112" s="294">
        <f>SUM(J113:J115)</f>
        <v>2.9099999999999997</v>
      </c>
      <c r="K112" s="294">
        <f>SUM(K113:K115)</f>
        <v>14.73</v>
      </c>
      <c r="L112" s="67">
        <f>SUM(L113:L115)</f>
        <v>105.7</v>
      </c>
    </row>
    <row r="113" spans="1:12" ht="12.75">
      <c r="A113" s="350" t="s">
        <v>42</v>
      </c>
      <c r="B113" s="451"/>
      <c r="C113" s="452"/>
      <c r="D113" s="453"/>
      <c r="E113" s="454">
        <v>0.03</v>
      </c>
      <c r="F113" s="73">
        <v>30</v>
      </c>
      <c r="G113" s="74">
        <v>64</v>
      </c>
      <c r="H113" s="79">
        <f>E113*G113</f>
        <v>1.92</v>
      </c>
      <c r="I113" s="455">
        <f>(F113*8)/100</f>
        <v>2.4</v>
      </c>
      <c r="J113" s="455">
        <f>(F113*1)/100</f>
        <v>0.3</v>
      </c>
      <c r="K113" s="455">
        <f>(F113*49.1)/100</f>
        <v>14.73</v>
      </c>
      <c r="L113" s="456">
        <f>(F113*238)/100</f>
        <v>71.4</v>
      </c>
    </row>
    <row r="114" spans="1:12" ht="12.75">
      <c r="A114" s="457" t="s">
        <v>65</v>
      </c>
      <c r="B114" s="458"/>
      <c r="C114" s="458"/>
      <c r="D114" s="459"/>
      <c r="E114" s="460">
        <v>0.011</v>
      </c>
      <c r="F114" s="461">
        <v>10</v>
      </c>
      <c r="G114" s="461">
        <v>480</v>
      </c>
      <c r="H114" s="461">
        <f>G114*E114</f>
        <v>5.279999999999999</v>
      </c>
      <c r="I114" s="461">
        <f>(25.6*F114)/100</f>
        <v>2.56</v>
      </c>
      <c r="J114" s="461">
        <f>(26.1*F114)/100</f>
        <v>2.61</v>
      </c>
      <c r="K114" s="461"/>
      <c r="L114" s="462">
        <f>(F114*343)/100</f>
        <v>34.3</v>
      </c>
    </row>
    <row r="115" ht="12.75">
      <c r="D115" s="4"/>
    </row>
    <row r="116" spans="1:12" ht="15.75">
      <c r="A116" s="115" t="s">
        <v>23</v>
      </c>
      <c r="B116" s="116"/>
      <c r="C116" s="116"/>
      <c r="D116" s="117"/>
      <c r="E116" s="118"/>
      <c r="F116" s="117"/>
      <c r="G116" s="119"/>
      <c r="H116" s="119">
        <f>H112+H108+H103</f>
        <v>37.879999999999995</v>
      </c>
      <c r="I116" s="117"/>
      <c r="J116" s="117"/>
      <c r="K116" s="463"/>
      <c r="L116" s="373"/>
    </row>
    <row r="117" spans="1:12" ht="15.75">
      <c r="A117" s="123"/>
      <c r="B117" s="124" t="s">
        <v>24</v>
      </c>
      <c r="C117" s="125"/>
      <c r="D117" s="126"/>
      <c r="E117" s="127"/>
      <c r="F117" s="126"/>
      <c r="G117" s="128"/>
      <c r="H117" s="128"/>
      <c r="I117" s="464">
        <f>I112+I108+I103</f>
        <v>17.46</v>
      </c>
      <c r="J117" s="464">
        <f>J112+J108+J103</f>
        <v>15.945</v>
      </c>
      <c r="K117" s="464">
        <f>K112+K108+K103</f>
        <v>60.867999999999995</v>
      </c>
      <c r="L117" s="464">
        <f>L112+L108+L103</f>
        <v>481.03999999999996</v>
      </c>
    </row>
    <row r="118" spans="1:12" ht="12.75">
      <c r="A118" s="465"/>
      <c r="B118" s="466"/>
      <c r="C118" s="466"/>
      <c r="D118" s="423"/>
      <c r="E118" s="467"/>
      <c r="F118" s="423"/>
      <c r="G118" s="424"/>
      <c r="H118" s="424"/>
      <c r="I118" s="423"/>
      <c r="J118" s="423"/>
      <c r="K118" s="468"/>
      <c r="L118" s="469">
        <f>L117/1800</f>
        <v>0.26724444444444445</v>
      </c>
    </row>
    <row r="119" spans="1:12" ht="12.75">
      <c r="A119" s="1784" t="s">
        <v>66</v>
      </c>
      <c r="B119" s="1784"/>
      <c r="C119" s="1784"/>
      <c r="D119" s="470"/>
      <c r="E119" s="470"/>
      <c r="F119" s="470"/>
      <c r="G119" s="471"/>
      <c r="H119" s="471"/>
      <c r="I119" s="423"/>
      <c r="J119" s="470"/>
      <c r="K119" s="472"/>
      <c r="L119" s="473"/>
    </row>
    <row r="120" spans="1:12" ht="12.75">
      <c r="A120" s="1774" t="s">
        <v>26</v>
      </c>
      <c r="B120" s="1774"/>
      <c r="C120" s="1774"/>
      <c r="D120" s="135">
        <v>100</v>
      </c>
      <c r="E120" s="136"/>
      <c r="F120" s="136"/>
      <c r="G120" s="137"/>
      <c r="H120" s="138">
        <f>H121</f>
        <v>7</v>
      </c>
      <c r="I120" s="139"/>
      <c r="J120" s="139"/>
      <c r="K120" s="139"/>
      <c r="L120" s="140"/>
    </row>
    <row r="121" spans="1:12" ht="12.75">
      <c r="A121" s="1778" t="s">
        <v>26</v>
      </c>
      <c r="B121" s="1778"/>
      <c r="C121" s="1778"/>
      <c r="D121" s="141"/>
      <c r="E121" s="142">
        <v>0.1</v>
      </c>
      <c r="F121" s="143">
        <v>100</v>
      </c>
      <c r="G121" s="144">
        <v>70</v>
      </c>
      <c r="H121" s="145">
        <f>E121*G121</f>
        <v>7</v>
      </c>
      <c r="I121" s="143"/>
      <c r="J121" s="143"/>
      <c r="K121" s="143">
        <f>(10.1*F121)/100</f>
        <v>10.1</v>
      </c>
      <c r="L121" s="146">
        <f>(F121*46)/100</f>
        <v>46</v>
      </c>
    </row>
    <row r="122" spans="1:12" ht="12.75">
      <c r="A122" s="457"/>
      <c r="B122" s="458"/>
      <c r="C122" s="474"/>
      <c r="D122" s="475"/>
      <c r="E122" s="476"/>
      <c r="F122" s="477"/>
      <c r="G122" s="478"/>
      <c r="H122" s="478"/>
      <c r="I122" s="479"/>
      <c r="J122" s="479"/>
      <c r="K122" s="479"/>
      <c r="L122" s="480"/>
    </row>
    <row r="123" spans="1:12" ht="15.75">
      <c r="A123" s="154" t="s">
        <v>27</v>
      </c>
      <c r="B123" s="155"/>
      <c r="C123" s="156"/>
      <c r="D123" s="157"/>
      <c r="E123" s="157"/>
      <c r="F123" s="157"/>
      <c r="G123" s="158"/>
      <c r="H123" s="159">
        <f>H120</f>
        <v>7</v>
      </c>
      <c r="I123" s="157"/>
      <c r="J123" s="157"/>
      <c r="K123" s="157"/>
      <c r="L123" s="481">
        <f>L120/1800</f>
        <v>0</v>
      </c>
    </row>
    <row r="124" spans="1:12" ht="15.75">
      <c r="A124" s="482"/>
      <c r="B124" s="124" t="s">
        <v>24</v>
      </c>
      <c r="C124" s="124"/>
      <c r="D124" s="301"/>
      <c r="E124" s="483"/>
      <c r="F124" s="483"/>
      <c r="G124" s="302"/>
      <c r="H124" s="302"/>
      <c r="I124" s="484"/>
      <c r="J124" s="484"/>
      <c r="K124" s="484"/>
      <c r="L124" s="485"/>
    </row>
    <row r="125" spans="1:12" ht="12.75">
      <c r="A125" s="486" t="s">
        <v>67</v>
      </c>
      <c r="B125" s="65" t="s">
        <v>68</v>
      </c>
      <c r="C125" s="178"/>
      <c r="D125" s="179"/>
      <c r="E125" s="179"/>
      <c r="F125" s="179"/>
      <c r="G125" s="180"/>
      <c r="H125" s="180"/>
      <c r="I125" s="65"/>
      <c r="J125" s="65"/>
      <c r="K125" s="179"/>
      <c r="L125" s="487"/>
    </row>
    <row r="126" spans="1:12" ht="12.75">
      <c r="A126" s="1774"/>
      <c r="B126" s="1774"/>
      <c r="C126" s="1774"/>
      <c r="D126" s="488"/>
      <c r="E126" s="489"/>
      <c r="F126" s="136"/>
      <c r="G126" s="137"/>
      <c r="H126" s="138"/>
      <c r="I126" s="139"/>
      <c r="J126" s="139"/>
      <c r="K126" s="139"/>
      <c r="L126" s="140"/>
    </row>
    <row r="127" spans="1:12" ht="12.75">
      <c r="A127" s="1780" t="s">
        <v>69</v>
      </c>
      <c r="B127" s="1780"/>
      <c r="C127" s="1780"/>
      <c r="D127" s="490" t="s">
        <v>70</v>
      </c>
      <c r="E127" s="491"/>
      <c r="F127" s="492"/>
      <c r="G127" s="283"/>
      <c r="H127" s="284">
        <f>SUM(H128:H134)</f>
        <v>16.404</v>
      </c>
      <c r="I127" s="285">
        <f>SUM(I128:I134)</f>
        <v>3.1109999999999998</v>
      </c>
      <c r="J127" s="285">
        <f>SUM(J128:J134)</f>
        <v>4.702</v>
      </c>
      <c r="K127" s="285">
        <f>SUM(K128:K134)</f>
        <v>22.345000000000002</v>
      </c>
      <c r="L127" s="285">
        <f>SUM(L128:L134)</f>
        <v>144.96</v>
      </c>
    </row>
    <row r="128" spans="1:14" ht="12.75" customHeight="1">
      <c r="A128" s="340" t="s">
        <v>71</v>
      </c>
      <c r="B128" s="493"/>
      <c r="C128" s="493"/>
      <c r="D128" s="494"/>
      <c r="E128" s="190"/>
      <c r="F128" s="191"/>
      <c r="G128" s="192"/>
      <c r="H128" s="193"/>
      <c r="I128" s="495"/>
      <c r="J128" s="495"/>
      <c r="K128" s="495"/>
      <c r="L128" s="496"/>
      <c r="N128" s="221"/>
    </row>
    <row r="129" spans="1:14" ht="12.75">
      <c r="A129" s="429" t="s">
        <v>16</v>
      </c>
      <c r="B129" s="431"/>
      <c r="C129" s="431"/>
      <c r="D129" s="497"/>
      <c r="E129" s="498">
        <v>0.003</v>
      </c>
      <c r="F129" s="435">
        <v>3</v>
      </c>
      <c r="G129" s="32">
        <v>300</v>
      </c>
      <c r="H129" s="33">
        <f>E129*G129</f>
        <v>0.9</v>
      </c>
      <c r="I129" s="45">
        <f>(F129*1)/100</f>
        <v>0.03</v>
      </c>
      <c r="J129" s="45">
        <f>(F129*72.5)/100</f>
        <v>2.175</v>
      </c>
      <c r="K129" s="45">
        <f>(F129*1.4)/100</f>
        <v>0.041999999999999996</v>
      </c>
      <c r="L129" s="46">
        <f>(F129*662)/100</f>
        <v>19.86</v>
      </c>
      <c r="N129" s="221"/>
    </row>
    <row r="130" spans="1:14" ht="12.75">
      <c r="A130" s="429" t="s">
        <v>32</v>
      </c>
      <c r="B130" s="431"/>
      <c r="C130" s="499"/>
      <c r="D130" s="500"/>
      <c r="E130" s="498">
        <v>0.2</v>
      </c>
      <c r="F130" s="435">
        <v>120</v>
      </c>
      <c r="G130" s="32">
        <v>56</v>
      </c>
      <c r="H130" s="501">
        <f>E130*G130</f>
        <v>11.200000000000001</v>
      </c>
      <c r="I130" s="213">
        <f>(F130*2)/100</f>
        <v>2.4</v>
      </c>
      <c r="J130" s="213">
        <f>(F130*0.4)/100</f>
        <v>0.48</v>
      </c>
      <c r="K130" s="213">
        <f>(F130*16.3)/100</f>
        <v>19.56</v>
      </c>
      <c r="L130" s="220">
        <f>(F130*77)/100</f>
        <v>92.4</v>
      </c>
      <c r="N130" s="221"/>
    </row>
    <row r="131" spans="1:14" ht="12.75">
      <c r="A131" s="340" t="s">
        <v>33</v>
      </c>
      <c r="B131" s="341"/>
      <c r="C131" s="502"/>
      <c r="D131" s="503"/>
      <c r="E131" s="212">
        <v>0.018000000000000002</v>
      </c>
      <c r="F131" s="213">
        <v>15</v>
      </c>
      <c r="G131" s="214">
        <v>63</v>
      </c>
      <c r="H131" s="215">
        <f>E131*G131</f>
        <v>1.1340000000000001</v>
      </c>
      <c r="I131" s="213">
        <f>(F131*1.4)/100</f>
        <v>0.21</v>
      </c>
      <c r="J131" s="213">
        <f>(F131*0.2)/100</f>
        <v>0.03</v>
      </c>
      <c r="K131" s="213">
        <f>(F131*8.2)/100</f>
        <v>1.2299999999999998</v>
      </c>
      <c r="L131" s="216">
        <f>(F131*41)/100</f>
        <v>6.15</v>
      </c>
      <c r="N131" s="221"/>
    </row>
    <row r="132" spans="1:14" ht="12.75">
      <c r="A132" s="340" t="s">
        <v>34</v>
      </c>
      <c r="B132" s="341"/>
      <c r="C132" s="502"/>
      <c r="D132" s="503"/>
      <c r="E132" s="212">
        <v>0.023</v>
      </c>
      <c r="F132" s="213">
        <v>17</v>
      </c>
      <c r="G132" s="214">
        <v>70</v>
      </c>
      <c r="H132" s="215">
        <f>G132*E132</f>
        <v>1.6099999999999999</v>
      </c>
      <c r="I132" s="213">
        <f>(F132*1.3)/100</f>
        <v>0.221</v>
      </c>
      <c r="J132" s="213">
        <f>(F132*0.1)/100</f>
        <v>0.017</v>
      </c>
      <c r="K132" s="213">
        <f>(F132*6.9)/100</f>
        <v>1.173</v>
      </c>
      <c r="L132" s="220">
        <f>(F132*35)/100</f>
        <v>5.95</v>
      </c>
      <c r="N132" s="221"/>
    </row>
    <row r="133" spans="1:14" ht="12.75">
      <c r="A133" s="504"/>
      <c r="B133" s="505"/>
      <c r="C133" s="505"/>
      <c r="D133" s="505"/>
      <c r="E133" s="506"/>
      <c r="F133" s="342"/>
      <c r="G133" s="507"/>
      <c r="H133" s="507"/>
      <c r="I133" s="204"/>
      <c r="J133" s="204"/>
      <c r="K133" s="204"/>
      <c r="L133" s="274"/>
      <c r="N133" s="221"/>
    </row>
    <row r="134" spans="1:14" ht="12.75">
      <c r="A134" s="508" t="s">
        <v>72</v>
      </c>
      <c r="B134" s="509"/>
      <c r="C134" s="509"/>
      <c r="D134" s="503"/>
      <c r="E134" s="510">
        <v>0.01</v>
      </c>
      <c r="F134" s="511">
        <v>10</v>
      </c>
      <c r="G134" s="501">
        <v>156</v>
      </c>
      <c r="H134" s="501">
        <f>E134*G134</f>
        <v>1.56</v>
      </c>
      <c r="I134" s="512">
        <f>(2.5*F134)/100</f>
        <v>0.25</v>
      </c>
      <c r="J134" s="512">
        <f>(20*F134)/100</f>
        <v>2</v>
      </c>
      <c r="K134" s="512">
        <f>(3.4*F134)/100</f>
        <v>0.34</v>
      </c>
      <c r="L134" s="274">
        <f>(206*F134)/100</f>
        <v>20.6</v>
      </c>
      <c r="N134" s="221"/>
    </row>
    <row r="135" spans="1:14" ht="29.25" customHeight="1">
      <c r="A135" s="1785" t="s">
        <v>73</v>
      </c>
      <c r="B135" s="1785"/>
      <c r="C135" s="1785"/>
      <c r="D135" s="135" t="s">
        <v>74</v>
      </c>
      <c r="E135" s="236"/>
      <c r="F135" s="513"/>
      <c r="G135" s="514"/>
      <c r="H135" s="106">
        <f>H136+H137+H138+H139+H140+H141+H142+H144+H145+H146+H143</f>
        <v>32.726</v>
      </c>
      <c r="I135" s="108">
        <f>I136+I137+I138+I139+I140+I141+I142+I144+I145+I146+I143</f>
        <v>3.4219999999999993</v>
      </c>
      <c r="J135" s="108">
        <f>J136+J137+J138+J139+J140+J141+J142+J144+J145+J146+J143</f>
        <v>21.069999999999997</v>
      </c>
      <c r="K135" s="108">
        <f>K136+K137+K138+K139+K140+K141+K142+K144+K145+K146+K143</f>
        <v>3.2049999999999996</v>
      </c>
      <c r="L135" s="108">
        <f>L136+L137+L138+L139+L140+L141+L142+L144+L145+L146+L143</f>
        <v>252.63</v>
      </c>
      <c r="M135" s="26"/>
      <c r="N135" s="264"/>
    </row>
    <row r="136" spans="1:14" ht="12.75">
      <c r="A136" s="340" t="s">
        <v>75</v>
      </c>
      <c r="B136" s="493"/>
      <c r="C136" s="493"/>
      <c r="D136" s="515"/>
      <c r="E136" s="190">
        <v>0.1</v>
      </c>
      <c r="F136" s="191">
        <v>75</v>
      </c>
      <c r="G136" s="192">
        <v>240</v>
      </c>
      <c r="H136" s="193">
        <f>G136*E136</f>
        <v>24</v>
      </c>
      <c r="I136" s="495"/>
      <c r="J136" s="495">
        <f>(F136*16)/100</f>
        <v>12</v>
      </c>
      <c r="K136" s="495"/>
      <c r="L136" s="496">
        <f>(F136*190)/100</f>
        <v>142.5</v>
      </c>
      <c r="N136" s="221"/>
    </row>
    <row r="137" spans="1:14" ht="12.75">
      <c r="A137" s="516" t="s">
        <v>16</v>
      </c>
      <c r="B137" s="341"/>
      <c r="C137" s="341"/>
      <c r="D137" s="517"/>
      <c r="E137" s="448">
        <v>0.003</v>
      </c>
      <c r="F137" s="78">
        <v>3</v>
      </c>
      <c r="G137" s="79">
        <v>300</v>
      </c>
      <c r="H137" s="79">
        <f aca="true" t="shared" si="0" ref="H137:H143">E137*G137</f>
        <v>0.9</v>
      </c>
      <c r="I137" s="518">
        <f>(F137*1)/100</f>
        <v>0.03</v>
      </c>
      <c r="J137" s="518">
        <f>(F137*72.5)/100</f>
        <v>2.175</v>
      </c>
      <c r="K137" s="518">
        <f>(F137*1.4)/100</f>
        <v>0.041999999999999996</v>
      </c>
      <c r="L137" s="519">
        <f>(F137*662)/100</f>
        <v>19.86</v>
      </c>
      <c r="N137" s="221"/>
    </row>
    <row r="138" spans="1:14" ht="12.75">
      <c r="A138" s="429" t="s">
        <v>76</v>
      </c>
      <c r="B138" s="430"/>
      <c r="C138" s="430"/>
      <c r="D138" s="520"/>
      <c r="E138" s="212">
        <v>0.003</v>
      </c>
      <c r="F138" s="213">
        <v>3</v>
      </c>
      <c r="G138" s="342">
        <v>49</v>
      </c>
      <c r="H138" s="507">
        <f t="shared" si="0"/>
        <v>0.147</v>
      </c>
      <c r="I138" s="455">
        <f>(12.7*F138)/100</f>
        <v>0.38099999999999995</v>
      </c>
      <c r="J138" s="455">
        <f>(F138*11.5)/100</f>
        <v>0.345</v>
      </c>
      <c r="K138" s="455">
        <f>(F138*0.7)/100</f>
        <v>0.021</v>
      </c>
      <c r="L138" s="456">
        <f>(157*F138)/100</f>
        <v>4.71</v>
      </c>
      <c r="N138" s="221"/>
    </row>
    <row r="139" spans="1:14" ht="12.75">
      <c r="A139" s="340" t="s">
        <v>37</v>
      </c>
      <c r="B139" s="341"/>
      <c r="C139" s="341"/>
      <c r="D139" s="517"/>
      <c r="E139" s="448">
        <v>0.002</v>
      </c>
      <c r="F139" s="80">
        <v>2</v>
      </c>
      <c r="G139" s="79">
        <v>129</v>
      </c>
      <c r="H139" s="79">
        <f t="shared" si="0"/>
        <v>0.258</v>
      </c>
      <c r="I139" s="521"/>
      <c r="J139" s="455">
        <f>(F139*99.9)/100</f>
        <v>1.9980000000000002</v>
      </c>
      <c r="K139" s="80"/>
      <c r="L139" s="522">
        <f>(F139*899)/100</f>
        <v>17.98</v>
      </c>
      <c r="N139" s="221"/>
    </row>
    <row r="140" spans="1:14" ht="12.75">
      <c r="A140" s="217" t="s">
        <v>18</v>
      </c>
      <c r="B140" s="218"/>
      <c r="C140" s="218"/>
      <c r="D140" s="219"/>
      <c r="E140" s="77">
        <v>0.025</v>
      </c>
      <c r="F140" s="78">
        <v>25</v>
      </c>
      <c r="G140" s="53">
        <v>72</v>
      </c>
      <c r="H140" s="97">
        <f t="shared" si="0"/>
        <v>1.8</v>
      </c>
      <c r="I140" s="63">
        <f>(2.9*F140)/100</f>
        <v>0.725</v>
      </c>
      <c r="J140" s="63">
        <f>(F140*2.5)/100</f>
        <v>0.625</v>
      </c>
      <c r="K140" s="63">
        <f>(4.8*F140)/100</f>
        <v>1.2</v>
      </c>
      <c r="L140" s="64">
        <f>(F140*60)/100</f>
        <v>15</v>
      </c>
      <c r="N140" s="221"/>
    </row>
    <row r="141" spans="1:14" ht="12.75">
      <c r="A141" s="523" t="s">
        <v>46</v>
      </c>
      <c r="B141" s="524"/>
      <c r="C141" s="525"/>
      <c r="D141" s="526"/>
      <c r="E141" s="527">
        <v>0.011</v>
      </c>
      <c r="F141" s="528">
        <v>10</v>
      </c>
      <c r="G141" s="229">
        <v>230</v>
      </c>
      <c r="H141" s="529">
        <f t="shared" si="0"/>
        <v>2.53</v>
      </c>
      <c r="I141" s="530">
        <f>(12.7*F141)/100</f>
        <v>1.27</v>
      </c>
      <c r="J141" s="530">
        <f>(F141*11.5)/100</f>
        <v>1.15</v>
      </c>
      <c r="K141" s="530">
        <f>(F141*0.7)/100</f>
        <v>0.07</v>
      </c>
      <c r="L141" s="531">
        <f>(157*F141)/100</f>
        <v>15.7</v>
      </c>
      <c r="N141" s="221"/>
    </row>
    <row r="142" spans="1:14" ht="12.75">
      <c r="A142" s="68" t="s">
        <v>77</v>
      </c>
      <c r="B142" s="69"/>
      <c r="C142" s="69"/>
      <c r="D142" s="289"/>
      <c r="E142" s="77">
        <v>0.01</v>
      </c>
      <c r="F142" s="78">
        <v>8</v>
      </c>
      <c r="G142" s="214">
        <v>63</v>
      </c>
      <c r="H142" s="215">
        <f t="shared" si="0"/>
        <v>0.63</v>
      </c>
      <c r="I142" s="213">
        <f>(F142*1.4)/100</f>
        <v>0.11199999999999999</v>
      </c>
      <c r="J142" s="213">
        <f>(F142*0.2)/100</f>
        <v>0.016</v>
      </c>
      <c r="K142" s="213">
        <f>(F142*8.2)/100</f>
        <v>0.6559999999999999</v>
      </c>
      <c r="L142" s="216">
        <f>(F142*41)/100</f>
        <v>3.28</v>
      </c>
      <c r="N142" s="221"/>
    </row>
    <row r="143" spans="1:14" ht="12.75">
      <c r="A143" s="516" t="s">
        <v>16</v>
      </c>
      <c r="B143" s="341"/>
      <c r="C143" s="341"/>
      <c r="D143" s="517"/>
      <c r="E143" s="448">
        <v>0.003</v>
      </c>
      <c r="F143" s="78">
        <v>3</v>
      </c>
      <c r="G143" s="79">
        <v>300</v>
      </c>
      <c r="H143" s="79">
        <f t="shared" si="0"/>
        <v>0.9</v>
      </c>
      <c r="I143" s="518">
        <f>(F143*1)/100</f>
        <v>0.03</v>
      </c>
      <c r="J143" s="518">
        <f>(F143*72.5)/100</f>
        <v>2.175</v>
      </c>
      <c r="K143" s="518">
        <f>(F143*1.4)/100</f>
        <v>0.041999999999999996</v>
      </c>
      <c r="L143" s="519">
        <f>(F143*662)/100</f>
        <v>19.86</v>
      </c>
      <c r="N143" s="221"/>
    </row>
    <row r="144" spans="1:14" ht="12.75">
      <c r="A144" s="68" t="s">
        <v>34</v>
      </c>
      <c r="B144" s="69"/>
      <c r="C144" s="69"/>
      <c r="D144" s="289"/>
      <c r="E144" s="77">
        <v>0.015</v>
      </c>
      <c r="F144" s="78">
        <v>11</v>
      </c>
      <c r="G144" s="214">
        <v>70</v>
      </c>
      <c r="H144" s="215">
        <f>G144*E144</f>
        <v>1.05</v>
      </c>
      <c r="I144" s="213">
        <f>(F144*1.3)/100</f>
        <v>0.14300000000000002</v>
      </c>
      <c r="J144" s="213">
        <f>(F144*0.1)/100</f>
        <v>0.011000000000000001</v>
      </c>
      <c r="K144" s="213">
        <f>(F144*6.9)/100</f>
        <v>0.759</v>
      </c>
      <c r="L144" s="220">
        <f>(F144*35)/100</f>
        <v>3.85</v>
      </c>
      <c r="N144" s="221"/>
    </row>
    <row r="145" spans="1:14" ht="12.75">
      <c r="A145" s="68" t="s">
        <v>78</v>
      </c>
      <c r="B145" s="69"/>
      <c r="C145" s="69"/>
      <c r="D145" s="289"/>
      <c r="E145" s="77">
        <v>0.002</v>
      </c>
      <c r="F145" s="78">
        <v>2</v>
      </c>
      <c r="G145" s="507">
        <v>133</v>
      </c>
      <c r="H145" s="507">
        <f>E145*G145</f>
        <v>0.266</v>
      </c>
      <c r="I145" s="256">
        <f>(4.8*F145)/100</f>
        <v>0.096</v>
      </c>
      <c r="J145" s="256"/>
      <c r="K145" s="256">
        <f>(19*F145)/100</f>
        <v>0.38</v>
      </c>
      <c r="L145" s="532">
        <f>(102*F145)/100</f>
        <v>2.04</v>
      </c>
      <c r="N145" s="221"/>
    </row>
    <row r="146" spans="1:14" ht="12.75">
      <c r="A146" s="523" t="s">
        <v>76</v>
      </c>
      <c r="B146" s="524"/>
      <c r="C146" s="525"/>
      <c r="D146" s="526"/>
      <c r="E146" s="527">
        <v>0.005</v>
      </c>
      <c r="F146" s="528">
        <v>5</v>
      </c>
      <c r="G146" s="229">
        <v>49</v>
      </c>
      <c r="H146" s="529">
        <f>E146*G146</f>
        <v>0.245</v>
      </c>
      <c r="I146" s="530">
        <f>(12.7*F146)/100</f>
        <v>0.635</v>
      </c>
      <c r="J146" s="530">
        <f>(F146*11.5)/100</f>
        <v>0.575</v>
      </c>
      <c r="K146" s="530">
        <f>(F146*0.7)/100</f>
        <v>0.035</v>
      </c>
      <c r="L146" s="531">
        <f>(157*F146)/100</f>
        <v>7.85</v>
      </c>
      <c r="N146" s="221"/>
    </row>
    <row r="147" spans="1:14" ht="12.75">
      <c r="A147" s="1780" t="s">
        <v>79</v>
      </c>
      <c r="B147" s="1780"/>
      <c r="C147" s="1780"/>
      <c r="D147" s="281">
        <v>120</v>
      </c>
      <c r="E147" s="282"/>
      <c r="F147" s="282"/>
      <c r="G147" s="283"/>
      <c r="H147" s="284">
        <f>H148+H149</f>
        <v>6.5</v>
      </c>
      <c r="I147" s="285">
        <f>SUM(I148:I149)</f>
        <v>4.45</v>
      </c>
      <c r="J147" s="285">
        <f>SUM(J148:J149)</f>
        <v>4.145</v>
      </c>
      <c r="K147" s="285">
        <f>SUM(K148:K149)</f>
        <v>27.91</v>
      </c>
      <c r="L147" s="285">
        <f>SUM(L148:L149)</f>
        <v>168.29999999999998</v>
      </c>
      <c r="N147" s="221"/>
    </row>
    <row r="148" spans="1:14" ht="12.75">
      <c r="A148" s="340" t="s">
        <v>80</v>
      </c>
      <c r="B148" s="341"/>
      <c r="C148" s="341"/>
      <c r="D148" s="517"/>
      <c r="E148" s="533">
        <v>0.04</v>
      </c>
      <c r="F148" s="534">
        <v>40</v>
      </c>
      <c r="G148" s="535">
        <v>125</v>
      </c>
      <c r="H148" s="535">
        <f>E148*G148</f>
        <v>5</v>
      </c>
      <c r="I148" s="85">
        <f>(11*F148)/100</f>
        <v>4.4</v>
      </c>
      <c r="J148" s="85">
        <f>(1.3*F148)/100</f>
        <v>0.52</v>
      </c>
      <c r="K148" s="85">
        <f>(69.6*F148)/100</f>
        <v>27.84</v>
      </c>
      <c r="L148" s="86">
        <f>(338*F148)/100</f>
        <v>135.2</v>
      </c>
      <c r="N148" s="221"/>
    </row>
    <row r="149" spans="1:14" ht="12.75">
      <c r="A149" s="68" t="s">
        <v>16</v>
      </c>
      <c r="B149" s="341"/>
      <c r="C149" s="341"/>
      <c r="D149" s="517"/>
      <c r="E149" s="536">
        <v>0.005</v>
      </c>
      <c r="F149" s="537">
        <v>5</v>
      </c>
      <c r="G149" s="79">
        <v>300</v>
      </c>
      <c r="H149" s="290">
        <f>G149*E149</f>
        <v>1.5</v>
      </c>
      <c r="I149" s="45">
        <f>(F149*1)/100</f>
        <v>0.05</v>
      </c>
      <c r="J149" s="45">
        <f>(F149*72.5)/100</f>
        <v>3.625</v>
      </c>
      <c r="K149" s="45">
        <f>(F149*1.4)/100</f>
        <v>0.07</v>
      </c>
      <c r="L149" s="46">
        <f>(F149*662)/100</f>
        <v>33.1</v>
      </c>
      <c r="N149" s="221"/>
    </row>
    <row r="150" spans="1:14" ht="12.75">
      <c r="A150" s="1776" t="s">
        <v>81</v>
      </c>
      <c r="B150" s="1776"/>
      <c r="C150" s="1776"/>
      <c r="D150" s="103">
        <v>200</v>
      </c>
      <c r="E150" s="331"/>
      <c r="F150" s="331"/>
      <c r="G150" s="105"/>
      <c r="H150" s="106">
        <f>H151+H152</f>
        <v>4.05</v>
      </c>
      <c r="I150" s="108">
        <f>I151+I152</f>
        <v>0.24</v>
      </c>
      <c r="J150" s="108">
        <f>J151+J152</f>
        <v>0.10500000000000002</v>
      </c>
      <c r="K150" s="108">
        <f>K151+K152</f>
        <v>18.330000000000002</v>
      </c>
      <c r="L150" s="108">
        <f>L151+L152</f>
        <v>76.2</v>
      </c>
      <c r="N150" s="206"/>
    </row>
    <row r="151" spans="1:14" ht="12.75">
      <c r="A151" s="538" t="s">
        <v>82</v>
      </c>
      <c r="B151" s="539"/>
      <c r="C151" s="540"/>
      <c r="D151" s="541"/>
      <c r="E151" s="261">
        <v>0.015</v>
      </c>
      <c r="F151" s="262">
        <v>15</v>
      </c>
      <c r="G151" s="112">
        <v>180</v>
      </c>
      <c r="H151" s="113">
        <f>E151*G151</f>
        <v>2.6999999999999997</v>
      </c>
      <c r="I151" s="111">
        <f>(F151*1.6)/100</f>
        <v>0.24</v>
      </c>
      <c r="J151" s="111">
        <f>(0.7*F151)/100</f>
        <v>0.10500000000000002</v>
      </c>
      <c r="K151" s="111">
        <f>(22.4*F151)/100</f>
        <v>3.36</v>
      </c>
      <c r="L151" s="263">
        <f>(109*F151)/100</f>
        <v>16.35</v>
      </c>
      <c r="N151" s="221"/>
    </row>
    <row r="152" spans="1:14" ht="12.75">
      <c r="A152" s="340" t="s">
        <v>17</v>
      </c>
      <c r="B152" s="493"/>
      <c r="C152" s="542"/>
      <c r="D152" s="543"/>
      <c r="E152" s="544">
        <v>0.015</v>
      </c>
      <c r="F152" s="545">
        <v>15</v>
      </c>
      <c r="G152" s="546">
        <v>90</v>
      </c>
      <c r="H152" s="33">
        <f>E152*G152</f>
        <v>1.3499999999999999</v>
      </c>
      <c r="I152" s="358"/>
      <c r="J152" s="358"/>
      <c r="K152" s="358">
        <f>(F152*99.8)/100</f>
        <v>14.97</v>
      </c>
      <c r="L152" s="359">
        <f>(F152*399)/100</f>
        <v>59.85</v>
      </c>
      <c r="N152" s="221"/>
    </row>
    <row r="153" spans="1:12" ht="12.75">
      <c r="A153" s="1773" t="s">
        <v>41</v>
      </c>
      <c r="B153" s="1773"/>
      <c r="C153" s="1773"/>
      <c r="D153" s="20">
        <v>50</v>
      </c>
      <c r="E153" s="66">
        <v>0.05</v>
      </c>
      <c r="F153" s="21">
        <v>50</v>
      </c>
      <c r="G153" s="22">
        <v>35</v>
      </c>
      <c r="H153" s="23">
        <f>E153*G153</f>
        <v>1.75</v>
      </c>
      <c r="I153" s="294">
        <f>(6.6*F153)/100</f>
        <v>3.3</v>
      </c>
      <c r="J153" s="294">
        <f>(1.2*F153)/100</f>
        <v>0.6</v>
      </c>
      <c r="K153" s="294">
        <f>(33.4*F153)/100</f>
        <v>16.7</v>
      </c>
      <c r="L153" s="67">
        <f>(174*F153)/100</f>
        <v>87</v>
      </c>
    </row>
    <row r="154" spans="1:12" ht="12.75">
      <c r="A154" s="1773" t="s">
        <v>42</v>
      </c>
      <c r="B154" s="1773"/>
      <c r="C154" s="1773"/>
      <c r="D154" s="20">
        <v>30</v>
      </c>
      <c r="E154" s="66">
        <v>0.03</v>
      </c>
      <c r="F154" s="21">
        <v>30</v>
      </c>
      <c r="G154" s="22">
        <v>64</v>
      </c>
      <c r="H154" s="23">
        <f>E154*G154</f>
        <v>1.92</v>
      </c>
      <c r="I154" s="294">
        <f>(F154*8)/100</f>
        <v>2.4</v>
      </c>
      <c r="J154" s="294">
        <f>(F154*1)/100</f>
        <v>0.3</v>
      </c>
      <c r="K154" s="294">
        <f>(F154*49.1)/100</f>
        <v>14.73</v>
      </c>
      <c r="L154" s="67">
        <f>(F154*238)/100</f>
        <v>71.4</v>
      </c>
    </row>
    <row r="155" spans="1:12" ht="12.75">
      <c r="A155" s="27"/>
      <c r="B155" s="286"/>
      <c r="C155" s="286"/>
      <c r="D155" s="287"/>
      <c r="E155" s="28"/>
      <c r="F155" s="28"/>
      <c r="G155" s="150"/>
      <c r="H155" s="150"/>
      <c r="I155" s="133"/>
      <c r="J155" s="133"/>
      <c r="K155" s="133"/>
      <c r="L155" s="547"/>
    </row>
    <row r="156" spans="1:12" ht="15.75">
      <c r="A156" s="296"/>
      <c r="B156" s="155"/>
      <c r="C156" s="297" t="s">
        <v>43</v>
      </c>
      <c r="D156" s="298"/>
      <c r="E156" s="297"/>
      <c r="F156" s="297"/>
      <c r="G156" s="159"/>
      <c r="H156" s="159">
        <f>H154+H153+H150+H147+H135+H127</f>
        <v>63.349999999999994</v>
      </c>
      <c r="I156" s="297"/>
      <c r="J156" s="157"/>
      <c r="K156" s="155"/>
      <c r="L156" s="548"/>
    </row>
    <row r="157" spans="1:12" ht="15.75">
      <c r="A157" s="549"/>
      <c r="B157" s="550" t="s">
        <v>24</v>
      </c>
      <c r="C157" s="550"/>
      <c r="D157" s="551"/>
      <c r="E157" s="550"/>
      <c r="F157" s="550"/>
      <c r="G157" s="552"/>
      <c r="H157" s="552"/>
      <c r="I157" s="553">
        <f>I154+I153+I150+I147+I135+I127</f>
        <v>16.923</v>
      </c>
      <c r="J157" s="553">
        <f>J154+J153+J150+J147+J135+J127</f>
        <v>30.921999999999997</v>
      </c>
      <c r="K157" s="553">
        <f>K154+K153+K150+K147+K135+K127</f>
        <v>103.22</v>
      </c>
      <c r="L157" s="553">
        <f>L154+L153+L150+L147+L135+L127</f>
        <v>800.49</v>
      </c>
    </row>
    <row r="158" spans="1:12" ht="12.75">
      <c r="A158" s="28"/>
      <c r="B158" s="28"/>
      <c r="C158" s="28"/>
      <c r="D158" s="149"/>
      <c r="E158" s="28"/>
      <c r="F158" s="28"/>
      <c r="G158" s="150"/>
      <c r="H158" s="150"/>
      <c r="I158" s="28"/>
      <c r="J158" s="149"/>
      <c r="K158" s="28"/>
      <c r="L158" s="554">
        <f>L157/1800</f>
        <v>0.44471666666666665</v>
      </c>
    </row>
    <row r="159" spans="1:14" ht="15.75">
      <c r="A159" s="18" t="s">
        <v>44</v>
      </c>
      <c r="B159" s="28"/>
      <c r="C159" s="555"/>
      <c r="D159" s="149"/>
      <c r="E159" s="28"/>
      <c r="F159" s="28"/>
      <c r="G159" s="28"/>
      <c r="H159" s="28"/>
      <c r="I159" s="133"/>
      <c r="J159" s="133"/>
      <c r="K159" s="150"/>
      <c r="L159" s="152"/>
      <c r="N159" s="466"/>
    </row>
    <row r="160" spans="1:25" ht="12.75">
      <c r="A160" s="1780" t="s">
        <v>83</v>
      </c>
      <c r="B160" s="1780"/>
      <c r="C160" s="1780"/>
      <c r="D160" s="556">
        <v>120</v>
      </c>
      <c r="E160" s="282"/>
      <c r="F160" s="282"/>
      <c r="G160" s="283"/>
      <c r="H160" s="284">
        <f>SUM(H161:H168)</f>
        <v>22.912</v>
      </c>
      <c r="I160" s="285">
        <f>SUM(I161:I167)</f>
        <v>17.532999999999998</v>
      </c>
      <c r="J160" s="285">
        <f>SUM(J161:J167)</f>
        <v>15.401000000000002</v>
      </c>
      <c r="K160" s="285">
        <f>SUM(K161:K167)</f>
        <v>15.185000000000002</v>
      </c>
      <c r="L160" s="285">
        <f>SUM(L161:L167)</f>
        <v>270.58000000000004</v>
      </c>
      <c r="N160" s="1786"/>
      <c r="O160" s="1786"/>
      <c r="P160" s="1786"/>
      <c r="Q160" s="207"/>
      <c r="R160" s="57"/>
      <c r="S160" s="57"/>
      <c r="T160" s="209"/>
      <c r="U160" s="210"/>
      <c r="V160" s="211"/>
      <c r="W160" s="211"/>
      <c r="X160" s="211"/>
      <c r="Y160" s="211"/>
    </row>
    <row r="161" spans="1:25" ht="12.75">
      <c r="A161" s="557" t="s">
        <v>18</v>
      </c>
      <c r="B161" s="558"/>
      <c r="C161" s="558"/>
      <c r="D161" s="559"/>
      <c r="E161" s="454">
        <v>0.02</v>
      </c>
      <c r="F161" s="73">
        <v>20</v>
      </c>
      <c r="G161" s="78">
        <v>72</v>
      </c>
      <c r="H161" s="78">
        <f>G161*E161</f>
        <v>1.44</v>
      </c>
      <c r="I161" s="63">
        <f>(2.9*F161)/100</f>
        <v>0.58</v>
      </c>
      <c r="J161" s="63">
        <f>(F161*2.5)/100</f>
        <v>0.5</v>
      </c>
      <c r="K161" s="63">
        <f>(4.8*F161)/100</f>
        <v>0.96</v>
      </c>
      <c r="L161" s="64">
        <f>(F161*60)/100</f>
        <v>12</v>
      </c>
      <c r="N161" s="221"/>
      <c r="O161" s="221"/>
      <c r="P161" s="221"/>
      <c r="Q161" s="247"/>
      <c r="R161" s="270"/>
      <c r="S161" s="28"/>
      <c r="T161" s="28"/>
      <c r="U161" s="28"/>
      <c r="V161" s="152"/>
      <c r="W161" s="152"/>
      <c r="X161" s="152"/>
      <c r="Y161" s="152"/>
    </row>
    <row r="162" spans="1:25" ht="12.75">
      <c r="A162" s="340" t="s">
        <v>37</v>
      </c>
      <c r="B162" s="341"/>
      <c r="C162" s="341"/>
      <c r="D162" s="517"/>
      <c r="E162" s="448">
        <v>0.004</v>
      </c>
      <c r="F162" s="560">
        <v>4</v>
      </c>
      <c r="G162" s="447">
        <v>129</v>
      </c>
      <c r="H162" s="200">
        <f>E162*G162</f>
        <v>0.516</v>
      </c>
      <c r="I162" s="521"/>
      <c r="J162" s="455">
        <f>(F162*99.9)/100</f>
        <v>3.9960000000000004</v>
      </c>
      <c r="K162" s="80"/>
      <c r="L162" s="522">
        <f>(F162*899)/100</f>
        <v>35.96</v>
      </c>
      <c r="N162" s="221"/>
      <c r="O162" s="221"/>
      <c r="P162" s="221"/>
      <c r="Q162" s="247"/>
      <c r="R162" s="270"/>
      <c r="S162" s="152"/>
      <c r="T162" s="150"/>
      <c r="U162" s="150"/>
      <c r="V162" s="133"/>
      <c r="W162" s="279"/>
      <c r="X162" s="152"/>
      <c r="Y162" s="561"/>
    </row>
    <row r="163" spans="1:25" ht="12.75">
      <c r="A163" s="340" t="s">
        <v>16</v>
      </c>
      <c r="B163" s="341"/>
      <c r="C163" s="341"/>
      <c r="D163" s="517"/>
      <c r="E163" s="562">
        <v>0.002</v>
      </c>
      <c r="F163" s="505">
        <v>2</v>
      </c>
      <c r="G163" s="214">
        <v>300</v>
      </c>
      <c r="H163" s="78">
        <f>G163*E163</f>
        <v>0.6</v>
      </c>
      <c r="I163" s="45">
        <f>(F163*1)/100</f>
        <v>0.02</v>
      </c>
      <c r="J163" s="45">
        <f>(F163*72.5)/100</f>
        <v>1.45</v>
      </c>
      <c r="K163" s="45">
        <f>(F163*1.4)/100</f>
        <v>0.027999999999999997</v>
      </c>
      <c r="L163" s="46">
        <f>(F163*662)/100</f>
        <v>13.24</v>
      </c>
      <c r="N163" s="221"/>
      <c r="O163" s="221"/>
      <c r="P163" s="221"/>
      <c r="Q163" s="247"/>
      <c r="R163" s="563"/>
      <c r="S163" s="57"/>
      <c r="T163" s="209"/>
      <c r="U163" s="28"/>
      <c r="V163" s="233"/>
      <c r="W163" s="233"/>
      <c r="X163" s="233"/>
      <c r="Y163" s="233"/>
    </row>
    <row r="164" spans="1:25" ht="12.75">
      <c r="A164" s="340" t="s">
        <v>46</v>
      </c>
      <c r="B164" s="341"/>
      <c r="C164" s="341"/>
      <c r="D164" s="517"/>
      <c r="E164" s="562">
        <v>0.006</v>
      </c>
      <c r="F164" s="564">
        <v>5</v>
      </c>
      <c r="G164" s="505">
        <v>230</v>
      </c>
      <c r="H164" s="535">
        <f>E164*G164</f>
        <v>1.3800000000000001</v>
      </c>
      <c r="I164" s="455">
        <f>(12.7*F164)/100</f>
        <v>0.635</v>
      </c>
      <c r="J164" s="455">
        <f>(F164*11.5)/100</f>
        <v>0.575</v>
      </c>
      <c r="K164" s="455">
        <f>(F164*0.7)/100</f>
        <v>0.035</v>
      </c>
      <c r="L164" s="456">
        <f>(157*F164)/100</f>
        <v>7.85</v>
      </c>
      <c r="N164" s="221"/>
      <c r="O164" s="221"/>
      <c r="P164" s="221"/>
      <c r="Q164" s="247"/>
      <c r="R164" s="563"/>
      <c r="S164" s="57"/>
      <c r="T164" s="209"/>
      <c r="U164" s="28"/>
      <c r="V164" s="279"/>
      <c r="W164" s="279"/>
      <c r="X164" s="279"/>
      <c r="Y164" s="279"/>
    </row>
    <row r="165" spans="1:25" ht="12.75">
      <c r="A165" s="340" t="s">
        <v>84</v>
      </c>
      <c r="B165" s="341"/>
      <c r="C165" s="341"/>
      <c r="D165" s="517"/>
      <c r="E165" s="433">
        <v>0.1</v>
      </c>
      <c r="F165" s="434">
        <v>98</v>
      </c>
      <c r="G165" s="214">
        <v>180</v>
      </c>
      <c r="H165" s="78">
        <f>G165*E165</f>
        <v>18</v>
      </c>
      <c r="I165" s="54">
        <f>(16*F165)/100</f>
        <v>15.68</v>
      </c>
      <c r="J165" s="256">
        <f>(F165*9)/100</f>
        <v>8.82</v>
      </c>
      <c r="K165" s="256">
        <f>(3*F165)/100</f>
        <v>2.94</v>
      </c>
      <c r="L165" s="532">
        <f>(157*F165)/100</f>
        <v>153.86</v>
      </c>
      <c r="N165" s="221"/>
      <c r="O165" s="221"/>
      <c r="P165" s="221"/>
      <c r="Q165" s="247"/>
      <c r="R165" s="563"/>
      <c r="S165" s="565"/>
      <c r="T165" s="57"/>
      <c r="U165" s="209"/>
      <c r="V165" s="279"/>
      <c r="W165" s="279"/>
      <c r="X165" s="279"/>
      <c r="Y165" s="279"/>
    </row>
    <row r="166" spans="1:25" ht="12.75">
      <c r="A166" s="340" t="s">
        <v>17</v>
      </c>
      <c r="B166" s="341"/>
      <c r="C166" s="341"/>
      <c r="D166" s="517"/>
      <c r="E166" s="562">
        <v>0.007</v>
      </c>
      <c r="F166" s="505">
        <v>7</v>
      </c>
      <c r="G166" s="214">
        <v>90</v>
      </c>
      <c r="H166" s="78">
        <f>G166*E166</f>
        <v>0.63</v>
      </c>
      <c r="I166" s="80"/>
      <c r="J166" s="80"/>
      <c r="K166" s="80">
        <f>(F166*99.8)/100</f>
        <v>6.986000000000001</v>
      </c>
      <c r="L166" s="81">
        <f>(F166*399)/100</f>
        <v>27.93</v>
      </c>
      <c r="N166" s="221"/>
      <c r="O166" s="221"/>
      <c r="P166" s="221"/>
      <c r="Q166" s="247"/>
      <c r="R166" s="563"/>
      <c r="S166" s="565"/>
      <c r="T166" s="57"/>
      <c r="U166" s="209"/>
      <c r="V166" s="279"/>
      <c r="W166" s="279"/>
      <c r="X166" s="279"/>
      <c r="Y166" s="279"/>
    </row>
    <row r="167" spans="1:25" ht="12.75">
      <c r="A167" s="340" t="s">
        <v>85</v>
      </c>
      <c r="B167" s="341"/>
      <c r="C167" s="341"/>
      <c r="D167" s="517"/>
      <c r="E167" s="77">
        <v>0.006</v>
      </c>
      <c r="F167" s="78">
        <v>6</v>
      </c>
      <c r="G167" s="78">
        <v>53</v>
      </c>
      <c r="H167" s="78">
        <f>G167*E167</f>
        <v>0.318</v>
      </c>
      <c r="I167" s="34">
        <f>(E167*10.3)/0.1</f>
        <v>0.618</v>
      </c>
      <c r="J167" s="35">
        <f>(F167*1)/100</f>
        <v>0.06</v>
      </c>
      <c r="K167" s="35">
        <f>(F167*70.6)/100</f>
        <v>4.236</v>
      </c>
      <c r="L167" s="36">
        <f>(F167*329)/100</f>
        <v>19.74</v>
      </c>
      <c r="N167" s="221"/>
      <c r="O167" s="221"/>
      <c r="P167" s="221"/>
      <c r="Q167" s="247"/>
      <c r="R167" s="563"/>
      <c r="S167" s="565"/>
      <c r="T167" s="57"/>
      <c r="U167" s="209"/>
      <c r="V167" s="279"/>
      <c r="W167" s="279"/>
      <c r="X167" s="279"/>
      <c r="Y167" s="279"/>
    </row>
    <row r="168" spans="1:25" ht="12.75">
      <c r="A168" s="566" t="s">
        <v>86</v>
      </c>
      <c r="B168" s="567"/>
      <c r="C168" s="567"/>
      <c r="D168" s="568"/>
      <c r="E168" s="569">
        <v>2E-05</v>
      </c>
      <c r="F168" s="83">
        <v>0.02</v>
      </c>
      <c r="G168" s="78">
        <v>1400</v>
      </c>
      <c r="H168" s="78">
        <f>G168*E168</f>
        <v>0.028</v>
      </c>
      <c r="I168" s="570"/>
      <c r="J168" s="570"/>
      <c r="K168" s="570"/>
      <c r="L168" s="571"/>
      <c r="N168" s="221"/>
      <c r="O168" s="221"/>
      <c r="P168" s="221"/>
      <c r="Q168" s="247"/>
      <c r="R168" s="563"/>
      <c r="S168" s="565"/>
      <c r="T168" s="57"/>
      <c r="U168" s="209"/>
      <c r="V168" s="279"/>
      <c r="W168" s="279"/>
      <c r="X168" s="279"/>
      <c r="Y168" s="279"/>
    </row>
    <row r="169" spans="1:25" ht="12.75">
      <c r="A169" s="1717" t="s">
        <v>87</v>
      </c>
      <c r="B169" s="1718"/>
      <c r="C169" s="1719"/>
      <c r="D169" s="1720">
        <v>30</v>
      </c>
      <c r="E169" s="1721"/>
      <c r="F169" s="1720"/>
      <c r="G169" s="1722"/>
      <c r="H169" s="1722">
        <f>H170</f>
        <v>7.38</v>
      </c>
      <c r="I169" s="1723">
        <f>I170</f>
        <v>2.16</v>
      </c>
      <c r="J169" s="1723">
        <f>J170</f>
        <v>2.55</v>
      </c>
      <c r="K169" s="1723">
        <f>K170</f>
        <v>16.65</v>
      </c>
      <c r="L169" s="1723">
        <f>L170</f>
        <v>98.4</v>
      </c>
      <c r="N169" s="221"/>
      <c r="O169" s="221"/>
      <c r="P169" s="221"/>
      <c r="Q169" s="247"/>
      <c r="R169" s="563"/>
      <c r="S169" s="565"/>
      <c r="T169" s="57"/>
      <c r="U169" s="209"/>
      <c r="V169" s="279"/>
      <c r="W169" s="279"/>
      <c r="X169" s="279"/>
      <c r="Y169" s="279"/>
    </row>
    <row r="170" spans="1:25" ht="12.75">
      <c r="A170" s="1724" t="s">
        <v>87</v>
      </c>
      <c r="B170" s="1725"/>
      <c r="C170" s="1726"/>
      <c r="D170" s="1727"/>
      <c r="E170" s="1728">
        <v>0.03</v>
      </c>
      <c r="F170" s="1729">
        <v>30</v>
      </c>
      <c r="G170" s="1730">
        <v>246</v>
      </c>
      <c r="H170" s="1731">
        <f>E170*G170</f>
        <v>7.38</v>
      </c>
      <c r="I170" s="1732">
        <f>(F170*7.2)/100</f>
        <v>2.16</v>
      </c>
      <c r="J170" s="1732">
        <f>(F170*8.5)/100</f>
        <v>2.55</v>
      </c>
      <c r="K170" s="1732">
        <f>(F170*55.5)/100</f>
        <v>16.65</v>
      </c>
      <c r="L170" s="1733">
        <f>(F170*328)/100</f>
        <v>98.4</v>
      </c>
      <c r="N170" s="275"/>
      <c r="O170" s="278"/>
      <c r="P170" s="278"/>
      <c r="Q170" s="423"/>
      <c r="R170" s="277"/>
      <c r="S170" s="278"/>
      <c r="T170" s="267"/>
      <c r="U170" s="288"/>
      <c r="V170" s="586"/>
      <c r="W170" s="233"/>
      <c r="X170" s="233"/>
      <c r="Y170" s="233"/>
    </row>
    <row r="171" spans="1:25" ht="12.75">
      <c r="A171" s="1774" t="s">
        <v>88</v>
      </c>
      <c r="B171" s="1774"/>
      <c r="C171" s="1774"/>
      <c r="D171" s="587">
        <v>100</v>
      </c>
      <c r="E171" s="236"/>
      <c r="F171" s="236"/>
      <c r="G171" s="588"/>
      <c r="H171" s="138">
        <f>H172+H173+H174</f>
        <v>6.12</v>
      </c>
      <c r="I171" s="139">
        <f>SUM(I172:I174)</f>
        <v>2.755</v>
      </c>
      <c r="J171" s="139">
        <f>SUM(J172:J174)</f>
        <v>2.375</v>
      </c>
      <c r="K171" s="139">
        <f>SUM(K172:K174)</f>
        <v>12.544</v>
      </c>
      <c r="L171" s="140">
        <f>SUM(L172:L174)</f>
        <v>88.92</v>
      </c>
      <c r="N171" s="221"/>
      <c r="O171" s="221"/>
      <c r="P171" s="221"/>
      <c r="Q171" s="247"/>
      <c r="R171" s="563"/>
      <c r="S171" s="57"/>
      <c r="T171" s="209"/>
      <c r="U171" s="28"/>
      <c r="V171" s="291"/>
      <c r="W171" s="291"/>
      <c r="X171" s="291"/>
      <c r="Y171" s="291"/>
    </row>
    <row r="172" spans="1:25" ht="12.75">
      <c r="A172" s="589" t="s">
        <v>89</v>
      </c>
      <c r="B172" s="590"/>
      <c r="C172" s="591"/>
      <c r="D172" s="50"/>
      <c r="E172" s="592">
        <v>0.1</v>
      </c>
      <c r="F172" s="96">
        <v>95</v>
      </c>
      <c r="G172" s="97">
        <v>54</v>
      </c>
      <c r="H172" s="97">
        <f>E172*G172</f>
        <v>5.4</v>
      </c>
      <c r="I172" s="63">
        <f>(2.9*F172)/100</f>
        <v>2.755</v>
      </c>
      <c r="J172" s="63">
        <f>(F172*2.5)/100</f>
        <v>2.375</v>
      </c>
      <c r="K172" s="63">
        <f>(4.8*F172)/100</f>
        <v>4.56</v>
      </c>
      <c r="L172" s="64">
        <f>(F172*60)/100</f>
        <v>57</v>
      </c>
      <c r="N172" s="221"/>
      <c r="O172" s="221"/>
      <c r="P172" s="221"/>
      <c r="Q172" s="247"/>
      <c r="R172" s="563"/>
      <c r="S172" s="57"/>
      <c r="T172" s="209"/>
      <c r="U172" s="28"/>
      <c r="V172" s="291"/>
      <c r="W172" s="291"/>
      <c r="X172" s="291"/>
      <c r="Y172" s="291"/>
    </row>
    <row r="173" spans="1:25" ht="12.75">
      <c r="A173" s="593"/>
      <c r="B173" s="337"/>
      <c r="C173" s="96"/>
      <c r="D173" s="50"/>
      <c r="E173" s="95"/>
      <c r="F173" s="96"/>
      <c r="G173" s="97"/>
      <c r="H173" s="97"/>
      <c r="I173" s="204"/>
      <c r="J173" s="204"/>
      <c r="K173" s="204"/>
      <c r="L173" s="205"/>
      <c r="N173" s="221"/>
      <c r="O173" s="221"/>
      <c r="P173" s="221"/>
      <c r="Q173" s="247"/>
      <c r="R173" s="563"/>
      <c r="S173" s="57"/>
      <c r="T173" s="209"/>
      <c r="U173" s="28"/>
      <c r="V173" s="152"/>
      <c r="W173" s="152"/>
      <c r="X173" s="152"/>
      <c r="Y173" s="152"/>
    </row>
    <row r="174" spans="1:25" ht="12.75">
      <c r="A174" s="457" t="s">
        <v>17</v>
      </c>
      <c r="B174" s="458"/>
      <c r="C174" s="474"/>
      <c r="D174" s="475"/>
      <c r="E174" s="476">
        <v>0.008</v>
      </c>
      <c r="F174" s="477">
        <v>8</v>
      </c>
      <c r="G174" s="478">
        <v>90</v>
      </c>
      <c r="H174" s="478">
        <f>E174*G174</f>
        <v>0.72</v>
      </c>
      <c r="I174" s="479"/>
      <c r="J174" s="479"/>
      <c r="K174" s="479">
        <f>(F174*99.8)/100</f>
        <v>7.984</v>
      </c>
      <c r="L174" s="480">
        <f>(F174*399)/100</f>
        <v>31.92</v>
      </c>
      <c r="N174" s="221"/>
      <c r="O174" s="221"/>
      <c r="P174" s="221"/>
      <c r="Q174" s="247"/>
      <c r="R174" s="594"/>
      <c r="S174" s="28"/>
      <c r="T174" s="28"/>
      <c r="U174" s="28"/>
      <c r="V174" s="223"/>
      <c r="W174" s="223"/>
      <c r="X174" s="223"/>
      <c r="Y174" s="237"/>
    </row>
    <row r="175" spans="1:25" ht="12.75">
      <c r="A175" s="360"/>
      <c r="B175" s="328"/>
      <c r="C175" s="328"/>
      <c r="D175" s="361"/>
      <c r="E175" s="362"/>
      <c r="F175" s="363"/>
      <c r="G175" s="364"/>
      <c r="H175" s="365"/>
      <c r="I175" s="329"/>
      <c r="J175" s="107"/>
      <c r="K175" s="366"/>
      <c r="L175" s="108"/>
      <c r="M175" s="345"/>
      <c r="N175" s="286"/>
      <c r="O175" s="286"/>
      <c r="P175" s="286"/>
      <c r="Q175" s="16"/>
      <c r="R175" s="595"/>
      <c r="S175" s="286"/>
      <c r="T175" s="151"/>
      <c r="U175" s="224"/>
      <c r="V175" s="152"/>
      <c r="W175" s="152"/>
      <c r="X175" s="152"/>
      <c r="Y175" s="152"/>
    </row>
    <row r="176" spans="1:14" ht="15.75">
      <c r="A176" s="596"/>
      <c r="B176" s="368"/>
      <c r="C176" s="369" t="s">
        <v>50</v>
      </c>
      <c r="D176" s="117"/>
      <c r="E176" s="370"/>
      <c r="F176" s="370"/>
      <c r="G176" s="371"/>
      <c r="H176" s="119">
        <f>H171+H169+H160</f>
        <v>36.412</v>
      </c>
      <c r="I176" s="370"/>
      <c r="J176" s="372"/>
      <c r="K176" s="370"/>
      <c r="L176" s="597"/>
      <c r="M176" s="345"/>
      <c r="N176" s="345"/>
    </row>
    <row r="177" spans="1:14" ht="15.75">
      <c r="A177" s="598" t="s">
        <v>24</v>
      </c>
      <c r="B177" s="599"/>
      <c r="C177" s="600"/>
      <c r="D177" s="601"/>
      <c r="E177" s="602"/>
      <c r="F177" s="602"/>
      <c r="G177" s="603"/>
      <c r="H177" s="603"/>
      <c r="I177" s="602">
        <f>I171+I169+I160</f>
        <v>22.447999999999997</v>
      </c>
      <c r="J177" s="602">
        <f>J171+J169+J160</f>
        <v>20.326</v>
      </c>
      <c r="K177" s="602">
        <f>K171+K169+K160</f>
        <v>44.379000000000005</v>
      </c>
      <c r="L177" s="602">
        <f>L171+L169+L160</f>
        <v>457.90000000000003</v>
      </c>
      <c r="M177" s="345"/>
      <c r="N177" s="345"/>
    </row>
    <row r="178" spans="1:14" ht="12.75">
      <c r="A178" s="382"/>
      <c r="C178" s="383"/>
      <c r="D178" s="384"/>
      <c r="E178" s="383"/>
      <c r="F178" s="383"/>
      <c r="G178" s="385"/>
      <c r="H178" s="385"/>
      <c r="I178" s="197"/>
      <c r="J178" s="386"/>
      <c r="K178" s="197"/>
      <c r="L178" s="604">
        <f>L177/1800</f>
        <v>0.2543888888888889</v>
      </c>
      <c r="M178" s="345"/>
      <c r="N178" s="345"/>
    </row>
    <row r="179" spans="1:14" ht="12.75">
      <c r="A179" s="394" t="s">
        <v>51</v>
      </c>
      <c r="B179" s="395"/>
      <c r="C179" s="395"/>
      <c r="D179" s="12"/>
      <c r="E179" s="396">
        <v>0.008</v>
      </c>
      <c r="F179" s="218" t="s">
        <v>52</v>
      </c>
      <c r="G179" s="397">
        <v>20</v>
      </c>
      <c r="H179" s="13">
        <f>E179*G179</f>
        <v>0.16</v>
      </c>
      <c r="I179" s="398"/>
      <c r="J179" s="399"/>
      <c r="K179" s="398"/>
      <c r="L179" s="400"/>
      <c r="M179" s="345"/>
      <c r="N179" s="345"/>
    </row>
    <row r="180" spans="1:12" ht="12.75">
      <c r="A180" s="394"/>
      <c r="B180" s="19"/>
      <c r="C180" s="395"/>
      <c r="D180" s="12"/>
      <c r="E180" s="286"/>
      <c r="F180" s="218"/>
      <c r="G180" s="397"/>
      <c r="H180" s="13"/>
      <c r="I180" s="398"/>
      <c r="J180" s="399"/>
      <c r="K180" s="398"/>
      <c r="L180" s="400"/>
    </row>
    <row r="181" spans="1:12" ht="15.75">
      <c r="A181" s="605"/>
      <c r="B181" s="606"/>
      <c r="C181" s="605" t="s">
        <v>53</v>
      </c>
      <c r="D181" s="607"/>
      <c r="E181" s="606"/>
      <c r="F181" s="605"/>
      <c r="G181" s="608"/>
      <c r="H181" s="608">
        <f>H179+H176+H156+H123+H116</f>
        <v>144.802</v>
      </c>
      <c r="I181" s="606"/>
      <c r="J181" s="609"/>
      <c r="K181" s="606"/>
      <c r="L181" s="607"/>
    </row>
    <row r="182" spans="1:12" ht="12.75">
      <c r="A182" s="394"/>
      <c r="B182" s="398"/>
      <c r="C182" s="395"/>
      <c r="D182" s="12"/>
      <c r="E182" s="610"/>
      <c r="F182" s="218" t="s">
        <v>24</v>
      </c>
      <c r="G182" s="397"/>
      <c r="H182" s="397"/>
      <c r="I182" s="398"/>
      <c r="J182" s="399"/>
      <c r="K182" s="398"/>
      <c r="L182" s="611"/>
    </row>
    <row r="183" spans="1:12" ht="12.75">
      <c r="A183" s="612" t="s">
        <v>54</v>
      </c>
      <c r="B183" s="613"/>
      <c r="C183" s="612"/>
      <c r="D183" s="614"/>
      <c r="E183" s="612"/>
      <c r="F183" s="612"/>
      <c r="G183" s="615"/>
      <c r="H183" s="615"/>
      <c r="I183" s="616">
        <f>I177+I157+I117+I120</f>
        <v>56.830999999999996</v>
      </c>
      <c r="J183" s="616">
        <f>J177+J157+J117+J120</f>
        <v>67.193</v>
      </c>
      <c r="K183" s="616">
        <f>K177+K157+K117+K120</f>
        <v>208.46699999999998</v>
      </c>
      <c r="L183" s="616">
        <f>L177+L157+L121+L117</f>
        <v>1785.43</v>
      </c>
    </row>
    <row r="184" spans="1:12" ht="12.75">
      <c r="A184" s="421"/>
      <c r="B184" s="422"/>
      <c r="C184" s="421"/>
      <c r="D184" s="423"/>
      <c r="E184" s="421"/>
      <c r="F184" s="421"/>
      <c r="G184" s="424"/>
      <c r="H184" s="424"/>
      <c r="I184" s="426"/>
      <c r="J184" s="426"/>
      <c r="K184" s="426"/>
      <c r="L184" s="617">
        <f>L183/1800</f>
        <v>0.9919055555555556</v>
      </c>
    </row>
    <row r="185" spans="1:12" ht="12.75">
      <c r="A185" s="421"/>
      <c r="B185" s="422"/>
      <c r="C185" s="421"/>
      <c r="D185" s="423"/>
      <c r="E185" s="421"/>
      <c r="F185" s="421"/>
      <c r="G185" s="424"/>
      <c r="H185" s="424"/>
      <c r="I185" s="426"/>
      <c r="J185" s="426"/>
      <c r="K185" s="426"/>
      <c r="L185" s="617"/>
    </row>
    <row r="186" spans="1:12" ht="12.75">
      <c r="A186" s="421"/>
      <c r="B186" s="422"/>
      <c r="C186" s="421"/>
      <c r="D186" s="423"/>
      <c r="E186" s="421"/>
      <c r="F186" s="421"/>
      <c r="G186" s="424"/>
      <c r="H186" s="424"/>
      <c r="I186" s="426"/>
      <c r="J186" s="426"/>
      <c r="K186" s="426"/>
      <c r="L186" s="617"/>
    </row>
    <row r="187" spans="1:12" ht="12.75">
      <c r="A187" s="421"/>
      <c r="B187" s="422"/>
      <c r="C187" s="421"/>
      <c r="D187" s="423"/>
      <c r="E187" s="421"/>
      <c r="F187" s="421"/>
      <c r="G187" s="424"/>
      <c r="H187" s="424"/>
      <c r="I187" s="426"/>
      <c r="J187" s="426"/>
      <c r="K187" s="426"/>
      <c r="L187" s="617"/>
    </row>
    <row r="188" spans="1:12" ht="15">
      <c r="A188" s="1"/>
      <c r="B188" s="1"/>
      <c r="C188" s="1"/>
      <c r="D188" s="427"/>
      <c r="E188" s="1"/>
      <c r="F188" s="1"/>
      <c r="G188" s="2"/>
      <c r="H188" s="2"/>
      <c r="I188" s="3" t="s">
        <v>90</v>
      </c>
      <c r="J188" s="1783"/>
      <c r="K188" s="1783"/>
      <c r="L188" s="1783"/>
    </row>
    <row r="189" spans="1:12" ht="12.75">
      <c r="A189" s="618"/>
      <c r="B189" s="618"/>
      <c r="C189" s="618"/>
      <c r="D189" s="619" t="s">
        <v>1</v>
      </c>
      <c r="E189" s="618"/>
      <c r="F189" s="618"/>
      <c r="G189" s="620"/>
      <c r="H189" s="620"/>
      <c r="I189" s="621"/>
      <c r="J189" s="621"/>
      <c r="K189" s="621"/>
      <c r="L189" s="621"/>
    </row>
    <row r="190" spans="1:12" ht="25.5">
      <c r="A190" s="1787" t="s">
        <v>2</v>
      </c>
      <c r="B190" s="1787"/>
      <c r="C190" s="1787"/>
      <c r="D190" s="622" t="s">
        <v>3</v>
      </c>
      <c r="E190" s="623" t="s">
        <v>4</v>
      </c>
      <c r="F190" s="623" t="s">
        <v>5</v>
      </c>
      <c r="G190" s="624" t="s">
        <v>6</v>
      </c>
      <c r="H190" s="625" t="s">
        <v>56</v>
      </c>
      <c r="I190" s="626" t="s">
        <v>8</v>
      </c>
      <c r="J190" s="626" t="s">
        <v>9</v>
      </c>
      <c r="K190" s="627" t="s">
        <v>10</v>
      </c>
      <c r="L190" s="626" t="s">
        <v>11</v>
      </c>
    </row>
    <row r="191" spans="1:12" ht="12.75">
      <c r="A191" s="1787"/>
      <c r="B191" s="1787"/>
      <c r="C191" s="1787"/>
      <c r="D191" s="628"/>
      <c r="E191" s="629"/>
      <c r="F191" s="629"/>
      <c r="G191" s="630"/>
      <c r="H191" s="630"/>
      <c r="I191" s="631" t="s">
        <v>12</v>
      </c>
      <c r="J191" s="631"/>
      <c r="K191" s="631"/>
      <c r="L191" s="632"/>
    </row>
    <row r="192" spans="1:12" ht="12.75">
      <c r="A192" s="211" t="s">
        <v>57</v>
      </c>
      <c r="B192" s="633">
        <v>0.3333333333333333</v>
      </c>
      <c r="C192" s="634"/>
      <c r="D192" s="207"/>
      <c r="E192" s="634"/>
      <c r="F192" s="634"/>
      <c r="G192" s="210"/>
      <c r="H192" s="210"/>
      <c r="I192" s="211"/>
      <c r="J192" s="211"/>
      <c r="K192" s="211"/>
      <c r="L192" s="211"/>
    </row>
    <row r="193" spans="1:12" ht="12.75">
      <c r="A193" s="1780" t="s">
        <v>91</v>
      </c>
      <c r="B193" s="1780"/>
      <c r="C193" s="1780"/>
      <c r="D193" s="281">
        <v>200</v>
      </c>
      <c r="E193" s="282"/>
      <c r="F193" s="282"/>
      <c r="G193" s="283"/>
      <c r="H193" s="284">
        <f>H194+H195+H197+H196</f>
        <v>14.519999999999998</v>
      </c>
      <c r="I193" s="285">
        <f>I194+I195+I196+I197</f>
        <v>6.56</v>
      </c>
      <c r="J193" s="285">
        <f>J194+J195+J196+J197</f>
        <v>8.015</v>
      </c>
      <c r="K193" s="285">
        <f>K194+K195+K196+K197</f>
        <v>22.462</v>
      </c>
      <c r="L193" s="285">
        <f>L194+L195+L196+L197</f>
        <v>198.26000000000002</v>
      </c>
    </row>
    <row r="194" spans="1:12" ht="12.75">
      <c r="A194" s="56" t="s">
        <v>18</v>
      </c>
      <c r="B194" s="57"/>
      <c r="C194" s="57"/>
      <c r="D194" s="58"/>
      <c r="E194" s="59">
        <v>0.15</v>
      </c>
      <c r="F194" s="60">
        <v>150</v>
      </c>
      <c r="G194" s="61">
        <v>72</v>
      </c>
      <c r="H194" s="62">
        <f>E194*G194</f>
        <v>10.799999999999999</v>
      </c>
      <c r="I194" s="63">
        <f>(2.9*F194)/100</f>
        <v>4.35</v>
      </c>
      <c r="J194" s="63">
        <f>(F194*2.5)/100</f>
        <v>3.75</v>
      </c>
      <c r="K194" s="63">
        <f>(4.8*F194)/100</f>
        <v>7.2</v>
      </c>
      <c r="L194" s="64">
        <f>(F194*60)/100</f>
        <v>90</v>
      </c>
    </row>
    <row r="195" spans="1:12" ht="12.75">
      <c r="A195" s="429" t="s">
        <v>16</v>
      </c>
      <c r="B195" s="430"/>
      <c r="C195" s="431"/>
      <c r="D195" s="432"/>
      <c r="E195" s="433">
        <v>0.005</v>
      </c>
      <c r="F195" s="434">
        <v>5</v>
      </c>
      <c r="G195" s="32">
        <v>300</v>
      </c>
      <c r="H195" s="33">
        <f>E195*G195</f>
        <v>1.5</v>
      </c>
      <c r="I195" s="45">
        <f>(F195*1)/100</f>
        <v>0.05</v>
      </c>
      <c r="J195" s="45">
        <f>(F195*72.5)/100</f>
        <v>3.625</v>
      </c>
      <c r="K195" s="45">
        <f>(F195*1.4)/100</f>
        <v>0.07</v>
      </c>
      <c r="L195" s="46">
        <f>(F195*662)/100</f>
        <v>33.1</v>
      </c>
    </row>
    <row r="196" spans="1:12" ht="12.75">
      <c r="A196" s="429" t="s">
        <v>92</v>
      </c>
      <c r="B196" s="430"/>
      <c r="C196" s="431"/>
      <c r="D196" s="432"/>
      <c r="E196" s="433">
        <v>0.02</v>
      </c>
      <c r="F196" s="434">
        <v>20</v>
      </c>
      <c r="G196" s="507">
        <v>93</v>
      </c>
      <c r="H196" s="507">
        <f>G196*E196</f>
        <v>1.86</v>
      </c>
      <c r="I196" s="635">
        <f>(10.8*F196)/100</f>
        <v>2.16</v>
      </c>
      <c r="J196" s="635">
        <f>(3.2*F196)/100</f>
        <v>0.64</v>
      </c>
      <c r="K196" s="635">
        <f>(56*F196)/100</f>
        <v>11.2</v>
      </c>
      <c r="L196" s="636">
        <f>(F196*296)/100</f>
        <v>59.2</v>
      </c>
    </row>
    <row r="197" spans="1:15" ht="12.75">
      <c r="A197" s="437" t="s">
        <v>17</v>
      </c>
      <c r="B197" s="438"/>
      <c r="C197" s="439"/>
      <c r="D197" s="440"/>
      <c r="E197" s="441">
        <v>0.004</v>
      </c>
      <c r="F197" s="442">
        <v>4</v>
      </c>
      <c r="G197" s="443">
        <v>90</v>
      </c>
      <c r="H197" s="444">
        <f>E197*G197</f>
        <v>0.36</v>
      </c>
      <c r="I197" s="358"/>
      <c r="J197" s="358"/>
      <c r="K197" s="358">
        <f>(F197*99.8)/100</f>
        <v>3.992</v>
      </c>
      <c r="L197" s="359">
        <f>(F197*399)/100</f>
        <v>15.96</v>
      </c>
      <c r="M197" s="345"/>
      <c r="N197" s="345"/>
      <c r="O197" s="345"/>
    </row>
    <row r="198" spans="1:15" ht="12.75">
      <c r="A198" s="1780" t="s">
        <v>49</v>
      </c>
      <c r="B198" s="1780"/>
      <c r="C198" s="1780"/>
      <c r="D198" s="637">
        <v>200</v>
      </c>
      <c r="E198" s="282"/>
      <c r="F198" s="282"/>
      <c r="G198" s="283"/>
      <c r="H198" s="284">
        <f>H199+H200</f>
        <v>1.3488000000000002</v>
      </c>
      <c r="I198" s="285">
        <f>I200</f>
        <v>0</v>
      </c>
      <c r="J198" s="285">
        <f>J200</f>
        <v>0</v>
      </c>
      <c r="K198" s="285">
        <f>K200</f>
        <v>11.975999999999999</v>
      </c>
      <c r="L198" s="285">
        <f>L200</f>
        <v>47.88</v>
      </c>
      <c r="M198" s="26"/>
      <c r="N198" s="26"/>
      <c r="O198" s="26"/>
    </row>
    <row r="199" spans="1:15" ht="12.75">
      <c r="A199" s="56" t="s">
        <v>20</v>
      </c>
      <c r="B199" s="221"/>
      <c r="C199" s="57"/>
      <c r="D199" s="638"/>
      <c r="E199" s="639">
        <v>0.0006000000000000001</v>
      </c>
      <c r="F199" s="60">
        <v>0.6000000000000001</v>
      </c>
      <c r="G199" s="61">
        <v>448</v>
      </c>
      <c r="H199" s="192">
        <f>E199*G199</f>
        <v>0.26880000000000004</v>
      </c>
      <c r="I199" s="80"/>
      <c r="J199" s="80"/>
      <c r="K199" s="80"/>
      <c r="L199" s="81"/>
      <c r="M199" s="26"/>
      <c r="N199" s="26"/>
      <c r="O199" s="26"/>
    </row>
    <row r="200" spans="1:15" ht="12.75">
      <c r="A200" s="437" t="s">
        <v>17</v>
      </c>
      <c r="B200" s="438"/>
      <c r="C200" s="438"/>
      <c r="D200" s="440"/>
      <c r="E200" s="527">
        <v>0.012</v>
      </c>
      <c r="F200" s="640">
        <v>12</v>
      </c>
      <c r="G200" s="641">
        <v>90</v>
      </c>
      <c r="H200" s="642">
        <f>E200*G200</f>
        <v>1.08</v>
      </c>
      <c r="I200" s="358"/>
      <c r="J200" s="358"/>
      <c r="K200" s="358">
        <f>(F200*99.8)/100</f>
        <v>11.975999999999999</v>
      </c>
      <c r="L200" s="359">
        <f>(F200*399)/100</f>
        <v>47.88</v>
      </c>
      <c r="M200" s="26"/>
      <c r="N200" s="26"/>
      <c r="O200" s="26"/>
    </row>
    <row r="201" spans="1:15" ht="12.75">
      <c r="A201" s="37"/>
      <c r="B201" s="38"/>
      <c r="C201" s="39"/>
      <c r="D201" s="71"/>
      <c r="E201" s="41"/>
      <c r="F201" s="42"/>
      <c r="G201" s="43"/>
      <c r="H201" s="53"/>
      <c r="I201" s="643"/>
      <c r="J201" s="643"/>
      <c r="K201" s="643"/>
      <c r="L201" s="644"/>
      <c r="M201" s="26"/>
      <c r="N201" s="26"/>
      <c r="O201" s="26"/>
    </row>
    <row r="202" spans="1:12" ht="12.75">
      <c r="A202" s="1774" t="s">
        <v>93</v>
      </c>
      <c r="B202" s="1774"/>
      <c r="C202" s="1774"/>
      <c r="D202" s="645" t="s">
        <v>94</v>
      </c>
      <c r="E202" s="235"/>
      <c r="F202" s="236"/>
      <c r="G202" s="137"/>
      <c r="H202" s="138">
        <f>H203+H205+H204</f>
        <v>3.9899999999999998</v>
      </c>
      <c r="I202" s="139">
        <f>SUM(I203:I205)</f>
        <v>2.25</v>
      </c>
      <c r="J202" s="139">
        <f>SUM(J203:J205)</f>
        <v>2.94</v>
      </c>
      <c r="K202" s="139">
        <f>SUM(K203:K205)</f>
        <v>22.32</v>
      </c>
      <c r="L202" s="140">
        <f>SUM(L203:L205)</f>
        <v>125.1</v>
      </c>
    </row>
    <row r="203" spans="1:12" ht="12.75">
      <c r="A203" s="1788" t="s">
        <v>93</v>
      </c>
      <c r="B203" s="1788"/>
      <c r="C203" s="1788"/>
      <c r="D203" s="646"/>
      <c r="E203" s="647">
        <v>0.03</v>
      </c>
      <c r="F203" s="648">
        <v>30</v>
      </c>
      <c r="G203" s="91">
        <v>133</v>
      </c>
      <c r="H203" s="91">
        <f>E203*G203</f>
        <v>3.9899999999999998</v>
      </c>
      <c r="I203" s="93">
        <v>2.25</v>
      </c>
      <c r="J203" s="93">
        <v>2.94</v>
      </c>
      <c r="K203" s="93">
        <v>22.32</v>
      </c>
      <c r="L203" s="94">
        <v>125.1</v>
      </c>
    </row>
    <row r="204" spans="1:12" ht="12.75">
      <c r="A204" s="457"/>
      <c r="B204" s="458"/>
      <c r="C204" s="458"/>
      <c r="D204" s="459"/>
      <c r="E204" s="460"/>
      <c r="F204" s="461"/>
      <c r="G204" s="461"/>
      <c r="H204" s="461"/>
      <c r="I204" s="461"/>
      <c r="J204" s="461"/>
      <c r="K204" s="461"/>
      <c r="L204" s="462"/>
    </row>
    <row r="205" spans="1:12" ht="12.75">
      <c r="A205" s="1789"/>
      <c r="B205" s="1789"/>
      <c r="C205" s="1789"/>
      <c r="D205" s="650"/>
      <c r="E205" s="651"/>
      <c r="F205" s="652"/>
      <c r="G205" s="653"/>
      <c r="H205" s="653"/>
      <c r="I205" s="654"/>
      <c r="J205" s="654"/>
      <c r="K205" s="654"/>
      <c r="L205" s="655"/>
    </row>
    <row r="206" spans="1:12" ht="15.75">
      <c r="A206" s="656" t="s">
        <v>23</v>
      </c>
      <c r="B206" s="657"/>
      <c r="C206" s="657"/>
      <c r="D206" s="658"/>
      <c r="E206" s="659"/>
      <c r="F206" s="658"/>
      <c r="G206" s="660"/>
      <c r="H206" s="660">
        <f>H202+H198+H193</f>
        <v>19.8588</v>
      </c>
      <c r="I206" s="661"/>
      <c r="J206" s="661"/>
      <c r="K206" s="662"/>
      <c r="L206" s="663"/>
    </row>
    <row r="207" spans="1:12" ht="12.75">
      <c r="A207" s="664"/>
      <c r="B207" s="665" t="s">
        <v>24</v>
      </c>
      <c r="C207" s="666"/>
      <c r="D207" s="667"/>
      <c r="E207" s="668"/>
      <c r="F207" s="667"/>
      <c r="G207" s="669"/>
      <c r="H207" s="669"/>
      <c r="I207" s="670">
        <f>I202+I198+I193</f>
        <v>8.809999999999999</v>
      </c>
      <c r="J207" s="670">
        <f>J202+J198+J193</f>
        <v>10.955</v>
      </c>
      <c r="K207" s="670">
        <f>K202+K198+K193</f>
        <v>56.757999999999996</v>
      </c>
      <c r="L207" s="670">
        <f>L202+L198+L193</f>
        <v>371.24</v>
      </c>
    </row>
    <row r="208" spans="1:12" ht="12.75">
      <c r="A208" s="206"/>
      <c r="B208" s="206"/>
      <c r="C208" s="206"/>
      <c r="D208" s="207"/>
      <c r="E208" s="671"/>
      <c r="F208" s="207"/>
      <c r="G208" s="210"/>
      <c r="H208" s="210"/>
      <c r="I208" s="211"/>
      <c r="J208" s="211"/>
      <c r="K208" s="672"/>
      <c r="L208" s="672">
        <f>L207/1800</f>
        <v>0.20624444444444445</v>
      </c>
    </row>
    <row r="209" spans="1:12" ht="12.75">
      <c r="A209" s="1790" t="s">
        <v>95</v>
      </c>
      <c r="B209" s="1790"/>
      <c r="C209" s="1790"/>
      <c r="D209" s="208"/>
      <c r="E209" s="208"/>
      <c r="F209" s="208"/>
      <c r="G209" s="209"/>
      <c r="H209" s="209"/>
      <c r="I209" s="211"/>
      <c r="J209" s="223"/>
      <c r="K209" s="673"/>
      <c r="L209" s="223"/>
    </row>
    <row r="210" spans="1:12" ht="12.75" customHeight="1">
      <c r="A210" s="1774" t="s">
        <v>26</v>
      </c>
      <c r="B210" s="1774"/>
      <c r="C210" s="1774"/>
      <c r="D210" s="135">
        <v>100</v>
      </c>
      <c r="E210" s="136"/>
      <c r="F210" s="136"/>
      <c r="G210" s="137"/>
      <c r="H210" s="138">
        <f>H211</f>
        <v>7</v>
      </c>
      <c r="I210" s="139"/>
      <c r="J210" s="139"/>
      <c r="K210" s="139">
        <v>10.1</v>
      </c>
      <c r="L210" s="140">
        <f>L211</f>
        <v>46</v>
      </c>
    </row>
    <row r="211" spans="1:15" ht="12.75">
      <c r="A211" s="1778" t="s">
        <v>26</v>
      </c>
      <c r="B211" s="1778"/>
      <c r="C211" s="1778"/>
      <c r="D211" s="141"/>
      <c r="E211" s="142">
        <v>0.1</v>
      </c>
      <c r="F211" s="143">
        <v>100</v>
      </c>
      <c r="G211" s="144">
        <v>70</v>
      </c>
      <c r="H211" s="145">
        <f>E211*G211</f>
        <v>7</v>
      </c>
      <c r="I211" s="143"/>
      <c r="J211" s="143"/>
      <c r="K211" s="143">
        <f>(10.1*F211)/100</f>
        <v>10.1</v>
      </c>
      <c r="L211" s="146">
        <f>(F211*46)/100</f>
        <v>46</v>
      </c>
      <c r="M211" s="345"/>
      <c r="N211" s="345"/>
      <c r="O211" s="345"/>
    </row>
    <row r="212" spans="1:15" ht="15.75">
      <c r="A212" s="674" t="s">
        <v>27</v>
      </c>
      <c r="B212" s="675"/>
      <c r="C212" s="676"/>
      <c r="D212" s="677"/>
      <c r="E212" s="677"/>
      <c r="F212" s="677"/>
      <c r="G212" s="678"/>
      <c r="H212" s="679">
        <f>H210</f>
        <v>7</v>
      </c>
      <c r="I212" s="680"/>
      <c r="J212" s="680"/>
      <c r="K212" s="680"/>
      <c r="L212" s="681">
        <f>L210/1800</f>
        <v>0.025555555555555557</v>
      </c>
      <c r="M212" s="345"/>
      <c r="N212" s="345"/>
      <c r="O212" s="345"/>
    </row>
    <row r="213" spans="1:15" ht="12.75">
      <c r="A213" s="682"/>
      <c r="B213" s="683" t="s">
        <v>24</v>
      </c>
      <c r="C213" s="683"/>
      <c r="D213" s="667"/>
      <c r="E213" s="667"/>
      <c r="F213" s="667"/>
      <c r="G213" s="669"/>
      <c r="H213" s="669"/>
      <c r="I213" s="684">
        <f>I210</f>
        <v>0</v>
      </c>
      <c r="J213" s="684">
        <f>J210</f>
        <v>0</v>
      </c>
      <c r="K213" s="684">
        <f>K210</f>
        <v>10.1</v>
      </c>
      <c r="L213" s="685">
        <f>L210</f>
        <v>46</v>
      </c>
      <c r="M213" s="345"/>
      <c r="N213" s="345"/>
      <c r="O213" s="345"/>
    </row>
    <row r="214" spans="1:15" ht="12.75">
      <c r="A214" s="686" t="s">
        <v>67</v>
      </c>
      <c r="B214" s="687">
        <v>0.5</v>
      </c>
      <c r="C214" s="688"/>
      <c r="D214" s="689"/>
      <c r="E214" s="689"/>
      <c r="F214" s="689"/>
      <c r="G214" s="690"/>
      <c r="H214" s="690"/>
      <c r="I214" s="686"/>
      <c r="J214" s="686"/>
      <c r="K214" s="691"/>
      <c r="L214" s="692">
        <f>L213/1800</f>
        <v>0.025555555555555557</v>
      </c>
      <c r="M214" s="345"/>
      <c r="N214" s="345"/>
      <c r="O214" s="345"/>
    </row>
    <row r="215" spans="1:15" ht="24" customHeight="1">
      <c r="A215" s="1791" t="s">
        <v>96</v>
      </c>
      <c r="B215" s="1791"/>
      <c r="C215" s="1791"/>
      <c r="D215" s="574" t="s">
        <v>70</v>
      </c>
      <c r="E215" s="693"/>
      <c r="F215" s="104"/>
      <c r="G215" s="694"/>
      <c r="H215" s="695">
        <f>SUM(H216:H225)</f>
        <v>25.036</v>
      </c>
      <c r="I215" s="696">
        <f>SUM(I216:I225)</f>
        <v>3.502</v>
      </c>
      <c r="J215" s="696">
        <f>SUM(J216:J225)</f>
        <v>8.384</v>
      </c>
      <c r="K215" s="696">
        <f>SUM(K216:K225)</f>
        <v>18.416</v>
      </c>
      <c r="L215" s="696">
        <f>SUM(L216:L225)</f>
        <v>175.59</v>
      </c>
      <c r="M215" s="345"/>
      <c r="N215" s="345"/>
      <c r="O215" s="345"/>
    </row>
    <row r="216" spans="1:15" ht="12.75">
      <c r="A216" s="340" t="s">
        <v>75</v>
      </c>
      <c r="B216" s="493"/>
      <c r="C216" s="493"/>
      <c r="D216" s="515"/>
      <c r="E216" s="190">
        <v>0.032</v>
      </c>
      <c r="F216" s="191">
        <v>24</v>
      </c>
      <c r="G216" s="192">
        <v>240</v>
      </c>
      <c r="H216" s="193">
        <f>G216*E216</f>
        <v>7.68</v>
      </c>
      <c r="I216" s="495"/>
      <c r="J216" s="495">
        <f>(F216*16)/100</f>
        <v>3.84</v>
      </c>
      <c r="K216" s="495"/>
      <c r="L216" s="496">
        <f>(F216*190)/100</f>
        <v>45.6</v>
      </c>
      <c r="M216" s="345"/>
      <c r="N216" s="345"/>
      <c r="O216" s="345"/>
    </row>
    <row r="217" spans="1:15" ht="12.75">
      <c r="A217" s="697" t="s">
        <v>16</v>
      </c>
      <c r="B217" s="698"/>
      <c r="C217" s="698"/>
      <c r="D217" s="699"/>
      <c r="E217" s="700">
        <v>0.003</v>
      </c>
      <c r="F217" s="701">
        <v>3</v>
      </c>
      <c r="G217" s="702">
        <v>300</v>
      </c>
      <c r="H217" s="703">
        <f>E217*G217</f>
        <v>0.9</v>
      </c>
      <c r="I217" s="45">
        <f>(F217*1)/100</f>
        <v>0.03</v>
      </c>
      <c r="J217" s="45">
        <f>(F217*72.5)/100</f>
        <v>2.175</v>
      </c>
      <c r="K217" s="45">
        <f>(F217*1.4)/100</f>
        <v>0.041999999999999996</v>
      </c>
      <c r="L217" s="46">
        <f>(F217*662)/100</f>
        <v>19.86</v>
      </c>
      <c r="M217" s="345"/>
      <c r="N217" s="345"/>
      <c r="O217" s="345"/>
    </row>
    <row r="218" spans="1:15" ht="12.75">
      <c r="A218" s="704" t="s">
        <v>72</v>
      </c>
      <c r="B218" s="705"/>
      <c r="C218" s="705"/>
      <c r="D218" s="260"/>
      <c r="E218" s="706">
        <v>0.01</v>
      </c>
      <c r="F218" s="707">
        <v>10</v>
      </c>
      <c r="G218" s="324">
        <v>156</v>
      </c>
      <c r="H218" s="324">
        <f>E218*G218</f>
        <v>1.56</v>
      </c>
      <c r="I218" s="512">
        <f>(2.5*F218)/100</f>
        <v>0.25</v>
      </c>
      <c r="J218" s="512">
        <f>(20*F218)/100</f>
        <v>2</v>
      </c>
      <c r="K218" s="512">
        <f>(3.4*F218)/100</f>
        <v>0.34</v>
      </c>
      <c r="L218" s="274">
        <f>(206*F218)/100</f>
        <v>20.6</v>
      </c>
      <c r="M218" s="345"/>
      <c r="N218" s="345"/>
      <c r="O218" s="345"/>
    </row>
    <row r="219" spans="1:15" ht="12.75">
      <c r="A219" s="248" t="s">
        <v>38</v>
      </c>
      <c r="B219" s="250"/>
      <c r="C219" s="250"/>
      <c r="D219" s="708"/>
      <c r="E219" s="709">
        <v>0.07</v>
      </c>
      <c r="F219" s="710">
        <v>55</v>
      </c>
      <c r="G219" s="507">
        <v>56</v>
      </c>
      <c r="H219" s="324">
        <f>E219*G219</f>
        <v>3.9200000000000004</v>
      </c>
      <c r="I219" s="111">
        <f>(1.8*F219)/100</f>
        <v>0.99</v>
      </c>
      <c r="J219" s="111">
        <f>(F219*0.1)/100</f>
        <v>0.055</v>
      </c>
      <c r="K219" s="111">
        <f>(F219*4.7)/100</f>
        <v>2.585</v>
      </c>
      <c r="L219" s="263">
        <f>(F219*28)/100</f>
        <v>15.4</v>
      </c>
      <c r="M219" s="345"/>
      <c r="N219" s="345"/>
      <c r="O219" s="345"/>
    </row>
    <row r="220" spans="1:15" ht="12.75">
      <c r="A220" s="248" t="s">
        <v>32</v>
      </c>
      <c r="B220" s="250"/>
      <c r="C220" s="250"/>
      <c r="D220" s="708"/>
      <c r="E220" s="709">
        <v>0.1</v>
      </c>
      <c r="F220" s="204">
        <v>60</v>
      </c>
      <c r="G220" s="507">
        <v>56</v>
      </c>
      <c r="H220" s="324">
        <f>E220*G220</f>
        <v>5.6000000000000005</v>
      </c>
      <c r="I220" s="204">
        <f>(F220*2)/100</f>
        <v>1.2</v>
      </c>
      <c r="J220" s="204">
        <f>(F220*0.4)/100</f>
        <v>0.24</v>
      </c>
      <c r="K220" s="204">
        <f>(F220*16.3)/100</f>
        <v>9.78</v>
      </c>
      <c r="L220" s="205">
        <f>(F220*77)/100</f>
        <v>46.2</v>
      </c>
      <c r="M220" s="345"/>
      <c r="N220" s="345"/>
      <c r="O220" s="345"/>
    </row>
    <row r="221" spans="1:15" ht="12.75">
      <c r="A221" s="248" t="s">
        <v>33</v>
      </c>
      <c r="B221" s="249"/>
      <c r="C221" s="249"/>
      <c r="D221" s="260"/>
      <c r="E221" s="709">
        <v>0.015</v>
      </c>
      <c r="F221" s="204">
        <v>12</v>
      </c>
      <c r="G221" s="507">
        <v>63</v>
      </c>
      <c r="H221" s="324">
        <f>E221*G221</f>
        <v>0.945</v>
      </c>
      <c r="I221" s="204">
        <f>(F221*1.4)/100</f>
        <v>0.16799999999999998</v>
      </c>
      <c r="J221" s="204">
        <f>(F221*0.2)/100</f>
        <v>0.024000000000000004</v>
      </c>
      <c r="K221" s="204">
        <f>(F221*8.2)/100</f>
        <v>0.9839999999999999</v>
      </c>
      <c r="L221" s="205">
        <f>(F221*41)/100</f>
        <v>4.92</v>
      </c>
      <c r="M221" s="345"/>
      <c r="N221" s="345"/>
      <c r="O221" s="345"/>
    </row>
    <row r="222" spans="1:15" ht="12.75">
      <c r="A222" s="248" t="s">
        <v>34</v>
      </c>
      <c r="B222" s="250"/>
      <c r="C222" s="250"/>
      <c r="D222" s="708"/>
      <c r="E222" s="709">
        <v>0.02</v>
      </c>
      <c r="F222" s="204">
        <v>15</v>
      </c>
      <c r="G222" s="507">
        <v>70</v>
      </c>
      <c r="H222" s="324">
        <f>G222*E222</f>
        <v>1.4000000000000001</v>
      </c>
      <c r="I222" s="204">
        <f>(F222*1.3)/100</f>
        <v>0.195</v>
      </c>
      <c r="J222" s="204">
        <f>(F222*0.1)/100</f>
        <v>0.015</v>
      </c>
      <c r="K222" s="204">
        <f>(F222*6.9)/100</f>
        <v>1.035</v>
      </c>
      <c r="L222" s="274">
        <f>(F222*35)/100</f>
        <v>5.25</v>
      </c>
      <c r="M222" s="345"/>
      <c r="N222" s="345"/>
      <c r="O222" s="345"/>
    </row>
    <row r="223" spans="1:15" ht="12.75">
      <c r="A223" s="711" t="s">
        <v>97</v>
      </c>
      <c r="B223" s="712"/>
      <c r="C223" s="712"/>
      <c r="D223" s="713"/>
      <c r="E223" s="714">
        <v>0.047</v>
      </c>
      <c r="F223" s="715">
        <v>35</v>
      </c>
      <c r="G223" s="716">
        <v>56</v>
      </c>
      <c r="H223" s="716">
        <f>G223*E223</f>
        <v>2.632</v>
      </c>
      <c r="I223" s="258">
        <f>(F223*1.5)/100</f>
        <v>0.525</v>
      </c>
      <c r="J223" s="258">
        <f>(F223*0.1)/100</f>
        <v>0.035</v>
      </c>
      <c r="K223" s="54">
        <f>(F223*8.8)/100</f>
        <v>3.08</v>
      </c>
      <c r="L223" s="259">
        <f>(F223*42)/100</f>
        <v>14.7</v>
      </c>
      <c r="M223" s="345"/>
      <c r="N223" s="345"/>
      <c r="O223" s="345"/>
    </row>
    <row r="224" spans="1:15" ht="12.75">
      <c r="A224" s="248" t="s">
        <v>78</v>
      </c>
      <c r="B224" s="250"/>
      <c r="C224" s="250"/>
      <c r="D224" s="251"/>
      <c r="E224" s="717">
        <v>0.003</v>
      </c>
      <c r="F224" s="342">
        <v>3</v>
      </c>
      <c r="G224" s="507">
        <v>133</v>
      </c>
      <c r="H224" s="507">
        <f>E224*G224</f>
        <v>0.399</v>
      </c>
      <c r="I224" s="256">
        <f>(4.8*F224)/100</f>
        <v>0.144</v>
      </c>
      <c r="J224" s="256"/>
      <c r="K224" s="256">
        <f>(19*F224)/100</f>
        <v>0.57</v>
      </c>
      <c r="L224" s="532">
        <f>(102*F224)/100</f>
        <v>3.06</v>
      </c>
      <c r="M224" s="345"/>
      <c r="N224" s="345"/>
      <c r="O224" s="345"/>
    </row>
    <row r="225" spans="1:15" ht="12.75">
      <c r="A225" s="225"/>
      <c r="B225" s="226"/>
      <c r="C225" s="226"/>
      <c r="D225" s="227"/>
      <c r="E225" s="228"/>
      <c r="F225" s="229"/>
      <c r="G225" s="230"/>
      <c r="H225" s="230"/>
      <c r="I225" s="231"/>
      <c r="J225" s="231"/>
      <c r="K225" s="231"/>
      <c r="L225" s="232"/>
      <c r="M225" s="345"/>
      <c r="N225" s="345"/>
      <c r="O225" s="345"/>
    </row>
    <row r="226" spans="1:15" ht="15.75" customHeight="1">
      <c r="A226" s="1792" t="s">
        <v>98</v>
      </c>
      <c r="B226" s="1792"/>
      <c r="C226" s="1792"/>
      <c r="D226" s="20" t="s">
        <v>99</v>
      </c>
      <c r="E226" s="21"/>
      <c r="F226" s="719"/>
      <c r="G226" s="718"/>
      <c r="H226" s="106">
        <f>H227+H228+H229+H230+H231+H232+H233+H235+H236</f>
        <v>42.428000000000004</v>
      </c>
      <c r="I226" s="108">
        <f>I227+I228+I229+I230+I231+I232+I233+I235+I236</f>
        <v>16.18</v>
      </c>
      <c r="J226" s="108">
        <f>J227+J228+J229+J230+J231+J232+J233+J235+J236</f>
        <v>15.630999999999998</v>
      </c>
      <c r="K226" s="108">
        <f>K227+K228+K229+K230+K231+K232+K233+K235+K236</f>
        <v>15.357000000000001</v>
      </c>
      <c r="L226" s="108">
        <f>L227+L228+L229+L230+L231+L232+L233+L235+L236</f>
        <v>270.4000000000001</v>
      </c>
      <c r="M226" s="26"/>
      <c r="N226" s="26"/>
      <c r="O226" s="345"/>
    </row>
    <row r="227" spans="1:15" ht="12.75">
      <c r="A227" s="589" t="s">
        <v>36</v>
      </c>
      <c r="B227" s="590"/>
      <c r="C227" s="590"/>
      <c r="D227" s="720"/>
      <c r="E227" s="721">
        <v>0.065</v>
      </c>
      <c r="F227" s="722">
        <v>60</v>
      </c>
      <c r="G227" s="144">
        <v>530</v>
      </c>
      <c r="H227" s="97">
        <f aca="true" t="shared" si="1" ref="H227:H233">E227*G227</f>
        <v>34.45</v>
      </c>
      <c r="I227" s="723">
        <f>(18.6*F227)/100</f>
        <v>11.16</v>
      </c>
      <c r="J227" s="723">
        <f>(16*F227)/100</f>
        <v>9.6</v>
      </c>
      <c r="K227" s="723"/>
      <c r="L227" s="724">
        <f>(218*F227)/100</f>
        <v>130.8</v>
      </c>
      <c r="M227" s="345"/>
      <c r="N227" s="345"/>
      <c r="O227" s="345"/>
    </row>
    <row r="228" spans="1:15" ht="12.75">
      <c r="A228" s="217" t="s">
        <v>33</v>
      </c>
      <c r="B228" s="218"/>
      <c r="C228" s="218"/>
      <c r="D228" s="219"/>
      <c r="E228" s="77">
        <v>0.01</v>
      </c>
      <c r="F228" s="80">
        <v>8</v>
      </c>
      <c r="G228" s="32">
        <v>63</v>
      </c>
      <c r="H228" s="33">
        <f t="shared" si="1"/>
        <v>0.63</v>
      </c>
      <c r="I228" s="213">
        <f>(F228*1.4)/100</f>
        <v>0.11199999999999999</v>
      </c>
      <c r="J228" s="213">
        <f>(F228*0.2)/100</f>
        <v>0.016</v>
      </c>
      <c r="K228" s="213">
        <f>(F228*8.2)/100</f>
        <v>0.6559999999999999</v>
      </c>
      <c r="L228" s="216">
        <f>(F228*41)/100</f>
        <v>3.28</v>
      </c>
      <c r="M228" s="345"/>
      <c r="N228" s="345"/>
      <c r="O228" s="345"/>
    </row>
    <row r="229" spans="1:15" ht="12.75">
      <c r="A229" s="217" t="s">
        <v>37</v>
      </c>
      <c r="B229" s="218"/>
      <c r="C229" s="218"/>
      <c r="D229" s="219"/>
      <c r="E229" s="77">
        <v>0.004</v>
      </c>
      <c r="F229" s="80">
        <v>4</v>
      </c>
      <c r="G229" s="53">
        <v>129</v>
      </c>
      <c r="H229" s="97">
        <f t="shared" si="1"/>
        <v>0.516</v>
      </c>
      <c r="I229" s="521"/>
      <c r="J229" s="455">
        <f>(F229*99.9)/100</f>
        <v>3.9960000000000004</v>
      </c>
      <c r="K229" s="80"/>
      <c r="L229" s="522">
        <f>(F229*899)/100</f>
        <v>35.96</v>
      </c>
      <c r="M229" s="345"/>
      <c r="N229" s="345"/>
      <c r="O229" s="345"/>
    </row>
    <row r="230" spans="1:15" ht="12.75">
      <c r="A230" s="340" t="s">
        <v>42</v>
      </c>
      <c r="B230" s="341"/>
      <c r="C230" s="341"/>
      <c r="D230" s="725"/>
      <c r="E230" s="562">
        <v>0.01</v>
      </c>
      <c r="F230" s="564">
        <v>10</v>
      </c>
      <c r="G230" s="726">
        <v>64</v>
      </c>
      <c r="H230" s="535">
        <f t="shared" si="1"/>
        <v>0.64</v>
      </c>
      <c r="I230" s="455">
        <f>(F230*8)/100</f>
        <v>0.8</v>
      </c>
      <c r="J230" s="455">
        <f>(F230*1)/100</f>
        <v>0.1</v>
      </c>
      <c r="K230" s="455">
        <f>(F230*49.1)/100</f>
        <v>4.91</v>
      </c>
      <c r="L230" s="456">
        <f>(F230*238)/100</f>
        <v>23.8</v>
      </c>
      <c r="M230" s="345"/>
      <c r="N230" s="345"/>
      <c r="O230" s="345"/>
    </row>
    <row r="231" spans="1:15" ht="12.75">
      <c r="A231" s="429" t="s">
        <v>76</v>
      </c>
      <c r="B231" s="430"/>
      <c r="C231" s="430"/>
      <c r="D231" s="520"/>
      <c r="E231" s="212">
        <v>0.003</v>
      </c>
      <c r="F231" s="213">
        <v>3</v>
      </c>
      <c r="G231" s="53">
        <v>49</v>
      </c>
      <c r="H231" s="97">
        <f t="shared" si="1"/>
        <v>0.147</v>
      </c>
      <c r="I231" s="455">
        <f>(F231*10.8)/100</f>
        <v>0.32400000000000007</v>
      </c>
      <c r="J231" s="455">
        <f>(F231*1.3)/100</f>
        <v>0.03900000000000001</v>
      </c>
      <c r="K231" s="455">
        <f>(F231*69.9)/100</f>
        <v>2.097</v>
      </c>
      <c r="L231" s="456">
        <f>(F231*334)/100</f>
        <v>10.02</v>
      </c>
      <c r="M231" s="345"/>
      <c r="N231" s="345"/>
      <c r="O231" s="345"/>
    </row>
    <row r="232" spans="1:15" ht="12.75">
      <c r="A232" s="68" t="s">
        <v>46</v>
      </c>
      <c r="B232" s="70"/>
      <c r="C232" s="727"/>
      <c r="D232" s="728"/>
      <c r="E232" s="562">
        <v>0.008</v>
      </c>
      <c r="F232" s="564">
        <v>7</v>
      </c>
      <c r="G232" s="342">
        <v>230</v>
      </c>
      <c r="H232" s="729">
        <f t="shared" si="1"/>
        <v>1.84</v>
      </c>
      <c r="I232" s="455">
        <f>(12.7*F232)/100</f>
        <v>0.8889999999999999</v>
      </c>
      <c r="J232" s="455">
        <f>(F232*11.5)/100</f>
        <v>0.805</v>
      </c>
      <c r="K232" s="455">
        <f>(F232*0.7)/100</f>
        <v>0.049</v>
      </c>
      <c r="L232" s="456">
        <f>(157*F232)/100</f>
        <v>10.99</v>
      </c>
      <c r="M232" s="345"/>
      <c r="N232" s="345"/>
      <c r="O232" s="345"/>
    </row>
    <row r="233" spans="1:15" ht="12.75">
      <c r="A233" s="68" t="s">
        <v>18</v>
      </c>
      <c r="B233" s="69"/>
      <c r="C233" s="69"/>
      <c r="D233" s="289"/>
      <c r="E233" s="77">
        <v>0.02</v>
      </c>
      <c r="F233" s="78">
        <v>20</v>
      </c>
      <c r="G233" s="730">
        <v>72</v>
      </c>
      <c r="H233" s="97">
        <f t="shared" si="1"/>
        <v>1.44</v>
      </c>
      <c r="I233" s="731">
        <f>(2.9*F233)/100</f>
        <v>0.58</v>
      </c>
      <c r="J233" s="63">
        <f>(F233*2.5)/100</f>
        <v>0.5</v>
      </c>
      <c r="K233" s="63">
        <f>(4.8*F233)/100</f>
        <v>0.96</v>
      </c>
      <c r="L233" s="64">
        <f>(F233*60)/100</f>
        <v>12</v>
      </c>
      <c r="M233" s="345"/>
      <c r="N233" s="345"/>
      <c r="O233" s="345"/>
    </row>
    <row r="234" spans="1:15" ht="12.75">
      <c r="A234" s="68" t="s">
        <v>100</v>
      </c>
      <c r="B234" s="69"/>
      <c r="C234" s="69"/>
      <c r="D234" s="289"/>
      <c r="E234" s="77"/>
      <c r="F234" s="78"/>
      <c r="G234" s="214"/>
      <c r="H234" s="215"/>
      <c r="I234" s="213"/>
      <c r="J234" s="213"/>
      <c r="K234" s="213"/>
      <c r="L234" s="216"/>
      <c r="M234" s="345"/>
      <c r="N234" s="345"/>
      <c r="O234" s="345"/>
    </row>
    <row r="235" spans="1:15" ht="12.75">
      <c r="A235" s="68" t="s">
        <v>18</v>
      </c>
      <c r="B235" s="69"/>
      <c r="C235" s="69"/>
      <c r="D235" s="289"/>
      <c r="E235" s="77">
        <v>0.035</v>
      </c>
      <c r="F235" s="78">
        <v>35</v>
      </c>
      <c r="G235" s="507">
        <v>72</v>
      </c>
      <c r="H235" s="507">
        <f>E235*G235</f>
        <v>2.5200000000000005</v>
      </c>
      <c r="I235" s="256">
        <f>(4.8*F235)/100</f>
        <v>1.68</v>
      </c>
      <c r="J235" s="256"/>
      <c r="K235" s="256">
        <f>(19*F235)/100</f>
        <v>6.65</v>
      </c>
      <c r="L235" s="532">
        <f>(102*F235)/100</f>
        <v>35.7</v>
      </c>
      <c r="M235" s="345"/>
      <c r="N235" s="345"/>
      <c r="O235" s="345"/>
    </row>
    <row r="236" spans="1:15" ht="12.75">
      <c r="A236" s="523" t="s">
        <v>76</v>
      </c>
      <c r="B236" s="524"/>
      <c r="C236" s="525"/>
      <c r="D236" s="526"/>
      <c r="E236" s="527">
        <v>0.005</v>
      </c>
      <c r="F236" s="528">
        <v>5</v>
      </c>
      <c r="G236" s="229">
        <v>49</v>
      </c>
      <c r="H236" s="529">
        <f>E236*G236</f>
        <v>0.245</v>
      </c>
      <c r="I236" s="530">
        <f>(12.7*F236)/100</f>
        <v>0.635</v>
      </c>
      <c r="J236" s="530">
        <f>(F236*11.5)/100</f>
        <v>0.575</v>
      </c>
      <c r="K236" s="530">
        <f>(F236*0.7)/100</f>
        <v>0.035</v>
      </c>
      <c r="L236" s="531">
        <f>(157*F236)/100</f>
        <v>7.85</v>
      </c>
      <c r="M236" s="345"/>
      <c r="N236" s="345"/>
      <c r="O236" s="345"/>
    </row>
    <row r="237" spans="1:15" ht="12.75">
      <c r="A237" s="1780" t="s">
        <v>101</v>
      </c>
      <c r="B237" s="1780"/>
      <c r="C237" s="1780"/>
      <c r="D237" s="281">
        <v>130</v>
      </c>
      <c r="E237" s="282"/>
      <c r="F237" s="282"/>
      <c r="G237" s="283"/>
      <c r="H237" s="284">
        <f>H238+H239</f>
        <v>4.335</v>
      </c>
      <c r="I237" s="285">
        <f>SUM(I238:I239)</f>
        <v>5</v>
      </c>
      <c r="J237" s="285">
        <f>SUM(J238:J239)</f>
        <v>4.21</v>
      </c>
      <c r="K237" s="285">
        <f>SUM(K238:K239)</f>
        <v>31.389999999999997</v>
      </c>
      <c r="L237" s="285">
        <f>SUM(L238:L239)</f>
        <v>185.2</v>
      </c>
      <c r="M237" s="345"/>
      <c r="N237" s="345"/>
      <c r="O237" s="345"/>
    </row>
    <row r="238" spans="1:15" ht="12.75">
      <c r="A238" s="340" t="s">
        <v>102</v>
      </c>
      <c r="B238" s="341"/>
      <c r="C238" s="341"/>
      <c r="D238" s="517"/>
      <c r="E238" s="533">
        <v>0.045</v>
      </c>
      <c r="F238" s="534">
        <v>45</v>
      </c>
      <c r="G238" s="535">
        <v>63</v>
      </c>
      <c r="H238" s="535">
        <f>E238*G238</f>
        <v>2.835</v>
      </c>
      <c r="I238" s="85">
        <f>(11*F238)/100</f>
        <v>4.95</v>
      </c>
      <c r="J238" s="85">
        <f>(1.3*F238)/100</f>
        <v>0.585</v>
      </c>
      <c r="K238" s="85">
        <f>(69.6*F238)/100</f>
        <v>31.319999999999997</v>
      </c>
      <c r="L238" s="86">
        <f>(338*F238)/100</f>
        <v>152.1</v>
      </c>
      <c r="M238" s="345"/>
      <c r="N238" s="345"/>
      <c r="O238" s="345"/>
    </row>
    <row r="239" spans="1:15" ht="12.75">
      <c r="A239" s="68" t="s">
        <v>16</v>
      </c>
      <c r="B239" s="341"/>
      <c r="C239" s="341"/>
      <c r="D239" s="517"/>
      <c r="E239" s="536">
        <v>0.005</v>
      </c>
      <c r="F239" s="537">
        <v>5</v>
      </c>
      <c r="G239" s="79">
        <v>300</v>
      </c>
      <c r="H239" s="290">
        <f>G239*E239</f>
        <v>1.5</v>
      </c>
      <c r="I239" s="45">
        <f>(F239*1)/100</f>
        <v>0.05</v>
      </c>
      <c r="J239" s="45">
        <f>(F239*72.5)/100</f>
        <v>3.625</v>
      </c>
      <c r="K239" s="45">
        <f>(F239*1.4)/100</f>
        <v>0.07</v>
      </c>
      <c r="L239" s="46">
        <f>(F239*662)/100</f>
        <v>33.1</v>
      </c>
      <c r="M239" s="345"/>
      <c r="N239" s="345"/>
      <c r="O239" s="345"/>
    </row>
    <row r="240" spans="1:15" ht="12.75">
      <c r="A240" s="1776" t="s">
        <v>103</v>
      </c>
      <c r="B240" s="1776"/>
      <c r="C240" s="1776"/>
      <c r="D240" s="103">
        <v>200</v>
      </c>
      <c r="E240" s="331"/>
      <c r="F240" s="331"/>
      <c r="G240" s="105"/>
      <c r="H240" s="106">
        <f>H241+H242</f>
        <v>5.25</v>
      </c>
      <c r="I240" s="108">
        <f>I241+I242</f>
        <v>0.075</v>
      </c>
      <c r="J240" s="108">
        <f>J241+J242</f>
        <v>0.03</v>
      </c>
      <c r="K240" s="108">
        <f>K241+K242</f>
        <v>15.525</v>
      </c>
      <c r="L240" s="108">
        <f>L241+L242</f>
        <v>64.05</v>
      </c>
      <c r="M240" s="345"/>
      <c r="N240" s="345"/>
      <c r="O240" s="345"/>
    </row>
    <row r="241" spans="1:15" ht="12.75">
      <c r="A241" s="538" t="s">
        <v>104</v>
      </c>
      <c r="B241" s="539"/>
      <c r="C241" s="540"/>
      <c r="D241" s="541"/>
      <c r="E241" s="261">
        <v>0.015</v>
      </c>
      <c r="F241" s="262">
        <v>15</v>
      </c>
      <c r="G241" s="112">
        <v>260</v>
      </c>
      <c r="H241" s="113">
        <f>E241*G241</f>
        <v>3.9</v>
      </c>
      <c r="I241" s="111">
        <f>(F241*0.5)/100</f>
        <v>0.075</v>
      </c>
      <c r="J241" s="111">
        <f>(0.2*F241)/100</f>
        <v>0.03</v>
      </c>
      <c r="K241" s="111">
        <f>(3.7*F241)/100</f>
        <v>0.555</v>
      </c>
      <c r="L241" s="263">
        <f>(28*F241)/100</f>
        <v>4.2</v>
      </c>
      <c r="M241" s="345"/>
      <c r="N241" s="345"/>
      <c r="O241" s="345"/>
    </row>
    <row r="242" spans="1:15" ht="12.75">
      <c r="A242" s="340" t="s">
        <v>17</v>
      </c>
      <c r="B242" s="493"/>
      <c r="C242" s="542"/>
      <c r="D242" s="543"/>
      <c r="E242" s="544">
        <v>0.015</v>
      </c>
      <c r="F242" s="545">
        <v>15</v>
      </c>
      <c r="G242" s="546">
        <v>90</v>
      </c>
      <c r="H242" s="33">
        <f>E242*G242</f>
        <v>1.3499999999999999</v>
      </c>
      <c r="I242" s="80"/>
      <c r="J242" s="80"/>
      <c r="K242" s="80">
        <f>(F242*99.8)/100</f>
        <v>14.97</v>
      </c>
      <c r="L242" s="81">
        <f>(F242*399)/100</f>
        <v>59.85</v>
      </c>
      <c r="M242" s="345"/>
      <c r="N242" s="345"/>
      <c r="O242" s="345"/>
    </row>
    <row r="243" spans="1:15" ht="12.75">
      <c r="A243" s="1773" t="s">
        <v>41</v>
      </c>
      <c r="B243" s="1773"/>
      <c r="C243" s="1773"/>
      <c r="D243" s="20">
        <v>50</v>
      </c>
      <c r="E243" s="66">
        <v>0.05</v>
      </c>
      <c r="F243" s="21">
        <v>50</v>
      </c>
      <c r="G243" s="22">
        <v>35</v>
      </c>
      <c r="H243" s="23">
        <f>E243*G243</f>
        <v>1.75</v>
      </c>
      <c r="I243" s="294">
        <f>(6.6*F243)/100</f>
        <v>3.3</v>
      </c>
      <c r="J243" s="294">
        <f>(1.2*F243)/100</f>
        <v>0.6</v>
      </c>
      <c r="K243" s="294">
        <f>(33.4*F243)/100</f>
        <v>16.7</v>
      </c>
      <c r="L243" s="67">
        <f>(174*F243)/100</f>
        <v>87</v>
      </c>
      <c r="M243" s="345"/>
      <c r="N243" s="345"/>
      <c r="O243" s="345"/>
    </row>
    <row r="244" spans="1:15" ht="12.75">
      <c r="A244" s="1773" t="s">
        <v>42</v>
      </c>
      <c r="B244" s="1773"/>
      <c r="C244" s="1773"/>
      <c r="D244" s="20">
        <v>30</v>
      </c>
      <c r="E244" s="66">
        <v>0.03</v>
      </c>
      <c r="F244" s="21">
        <v>30</v>
      </c>
      <c r="G244" s="22">
        <v>64</v>
      </c>
      <c r="H244" s="23">
        <f>E244*G244</f>
        <v>1.92</v>
      </c>
      <c r="I244" s="294">
        <f>(F244*8)/100</f>
        <v>2.4</v>
      </c>
      <c r="J244" s="294">
        <f>(F244*1)/100</f>
        <v>0.3</v>
      </c>
      <c r="K244" s="294">
        <f>(F244*49.1)/100</f>
        <v>14.73</v>
      </c>
      <c r="L244" s="67">
        <f>(F244*238)/100</f>
        <v>71.4</v>
      </c>
      <c r="M244" s="345"/>
      <c r="N244" s="345"/>
      <c r="O244" s="345"/>
    </row>
    <row r="245" spans="1:15" ht="12.75">
      <c r="A245" s="56"/>
      <c r="B245" s="221"/>
      <c r="C245" s="221"/>
      <c r="D245" s="247"/>
      <c r="E245" s="57"/>
      <c r="F245" s="57"/>
      <c r="G245" s="209"/>
      <c r="H245" s="209"/>
      <c r="I245" s="223"/>
      <c r="J245" s="223"/>
      <c r="K245" s="223"/>
      <c r="L245" s="732"/>
      <c r="M245" s="345"/>
      <c r="N245" s="345"/>
      <c r="O245" s="345"/>
    </row>
    <row r="246" spans="1:15" ht="15.75">
      <c r="A246" s="733"/>
      <c r="B246" s="675"/>
      <c r="C246" s="734" t="s">
        <v>43</v>
      </c>
      <c r="D246" s="735"/>
      <c r="E246" s="734"/>
      <c r="F246" s="734"/>
      <c r="G246" s="679"/>
      <c r="H246" s="679">
        <f>H244+H243+H240+H237+H226+H215</f>
        <v>80.71900000000001</v>
      </c>
      <c r="I246" s="736"/>
      <c r="J246" s="680"/>
      <c r="K246" s="680"/>
      <c r="L246" s="737"/>
      <c r="M246" s="345"/>
      <c r="N246" s="345"/>
      <c r="O246" s="345"/>
    </row>
    <row r="247" spans="1:15" ht="12.75">
      <c r="A247" s="738"/>
      <c r="B247" s="739" t="s">
        <v>24</v>
      </c>
      <c r="C247" s="740"/>
      <c r="D247" s="741"/>
      <c r="E247" s="740"/>
      <c r="F247" s="740"/>
      <c r="G247" s="742"/>
      <c r="H247" s="742"/>
      <c r="I247" s="743">
        <f>I244+I243+I240+I237+I226+I215</f>
        <v>30.456999999999997</v>
      </c>
      <c r="J247" s="743">
        <f>J244+J243+J240+J237+J226+J215</f>
        <v>29.154999999999998</v>
      </c>
      <c r="K247" s="743">
        <f>K244+K243+K240+K237+K226+K215</f>
        <v>112.118</v>
      </c>
      <c r="L247" s="743">
        <f>L244+L243+L240+L237+L226+L215</f>
        <v>853.6400000000001</v>
      </c>
      <c r="M247" s="345"/>
      <c r="N247" s="345"/>
      <c r="O247" s="345"/>
    </row>
    <row r="248" spans="1:15" ht="12.75">
      <c r="A248" s="57"/>
      <c r="B248" s="57"/>
      <c r="C248" s="57"/>
      <c r="D248" s="208"/>
      <c r="E248" s="57"/>
      <c r="F248" s="57"/>
      <c r="G248" s="209"/>
      <c r="H248" s="209"/>
      <c r="I248" s="57"/>
      <c r="J248" s="208"/>
      <c r="K248" s="57"/>
      <c r="L248" s="744">
        <f>L247/1800</f>
        <v>0.4742444444444445</v>
      </c>
      <c r="M248" s="345"/>
      <c r="N248" s="345"/>
      <c r="O248" s="345"/>
    </row>
    <row r="249" spans="1:14" ht="12.75">
      <c r="A249" s="634" t="s">
        <v>44</v>
      </c>
      <c r="B249" s="634" t="s">
        <v>105</v>
      </c>
      <c r="C249" s="57"/>
      <c r="D249" s="208"/>
      <c r="E249" s="57"/>
      <c r="F249" s="57"/>
      <c r="G249" s="57"/>
      <c r="H249" s="57"/>
      <c r="I249" s="634"/>
      <c r="J249" s="634"/>
      <c r="K249" s="209"/>
      <c r="L249" s="208"/>
      <c r="N249" s="131"/>
    </row>
    <row r="250" spans="1:14" ht="32.25" customHeight="1">
      <c r="A250" s="1793" t="s">
        <v>106</v>
      </c>
      <c r="B250" s="1793"/>
      <c r="C250" s="1793"/>
      <c r="D250" s="281" t="s">
        <v>74</v>
      </c>
      <c r="E250" s="282"/>
      <c r="F250" s="282"/>
      <c r="G250" s="283"/>
      <c r="H250" s="284">
        <f>SUM(H251:H259)</f>
        <v>32.078</v>
      </c>
      <c r="I250" s="745">
        <f>SUM(I251:I259)</f>
        <v>13.167999999999997</v>
      </c>
      <c r="J250" s="745">
        <f>SUM(J251:J259)</f>
        <v>8.12</v>
      </c>
      <c r="K250" s="745">
        <f>SUM(K251:K259)</f>
        <v>4.221</v>
      </c>
      <c r="L250" s="285">
        <f>SUM(L251:L259)</f>
        <v>142.69</v>
      </c>
      <c r="N250" s="286"/>
    </row>
    <row r="251" spans="1:14" ht="12.75" customHeight="1">
      <c r="A251" s="340" t="s">
        <v>107</v>
      </c>
      <c r="B251" s="341"/>
      <c r="C251" s="341"/>
      <c r="D251" s="517"/>
      <c r="E251" s="533">
        <v>0.09</v>
      </c>
      <c r="F251" s="534">
        <v>70</v>
      </c>
      <c r="G251" s="535">
        <v>300</v>
      </c>
      <c r="H251" s="535">
        <f>E251*G251</f>
        <v>27</v>
      </c>
      <c r="I251" s="85">
        <f>(F251*17.2)/100</f>
        <v>12.04</v>
      </c>
      <c r="J251" s="85">
        <f>(0.5*F251)/100</f>
        <v>0.35</v>
      </c>
      <c r="K251" s="85"/>
      <c r="L251" s="746">
        <f>(73*F251)/100</f>
        <v>51.1</v>
      </c>
      <c r="N251" s="19"/>
    </row>
    <row r="252" spans="1:14" ht="12.75">
      <c r="A252" s="68" t="s">
        <v>16</v>
      </c>
      <c r="B252" s="341"/>
      <c r="C252" s="341"/>
      <c r="D252" s="517"/>
      <c r="E252" s="77">
        <v>0.004</v>
      </c>
      <c r="F252" s="78">
        <v>4</v>
      </c>
      <c r="G252" s="79">
        <v>300</v>
      </c>
      <c r="H252" s="290">
        <f>G252*E252</f>
        <v>1.2</v>
      </c>
      <c r="I252" s="45">
        <f>(F252*1)/100</f>
        <v>0.04</v>
      </c>
      <c r="J252" s="45">
        <f>(F252*72.5)/100</f>
        <v>2.9</v>
      </c>
      <c r="K252" s="45">
        <f>(F252*1.4)/100</f>
        <v>0.055999999999999994</v>
      </c>
      <c r="L252" s="46">
        <f>(F252*662)/100</f>
        <v>26.48</v>
      </c>
      <c r="N252" s="286"/>
    </row>
    <row r="253" spans="1:14" ht="12.75">
      <c r="A253" s="340" t="s">
        <v>37</v>
      </c>
      <c r="B253" s="341"/>
      <c r="C253" s="341"/>
      <c r="D253" s="725"/>
      <c r="E253" s="562">
        <v>0.003</v>
      </c>
      <c r="F253" s="564">
        <v>3</v>
      </c>
      <c r="G253" s="505">
        <v>129</v>
      </c>
      <c r="H253" s="214">
        <f>E253*G253</f>
        <v>0.387</v>
      </c>
      <c r="I253" s="257"/>
      <c r="J253" s="258">
        <f>(F253*99.9)/100</f>
        <v>2.9970000000000003</v>
      </c>
      <c r="K253" s="54"/>
      <c r="L253" s="259">
        <f>(F253*899)/100</f>
        <v>26.97</v>
      </c>
      <c r="N253" s="286"/>
    </row>
    <row r="254" spans="1:14" ht="12.75">
      <c r="A254" s="340" t="s">
        <v>33</v>
      </c>
      <c r="B254" s="341"/>
      <c r="C254" s="341"/>
      <c r="D254" s="725"/>
      <c r="E254" s="562">
        <v>0.015</v>
      </c>
      <c r="F254" s="564">
        <v>12</v>
      </c>
      <c r="G254" s="505">
        <v>63</v>
      </c>
      <c r="H254" s="214">
        <f>G254*E254</f>
        <v>0.945</v>
      </c>
      <c r="I254" s="204">
        <f>(F254*1.4)/100</f>
        <v>0.16799999999999998</v>
      </c>
      <c r="J254" s="204">
        <f>(F254*0.2)/100</f>
        <v>0.024000000000000004</v>
      </c>
      <c r="K254" s="204">
        <f>(F254*8.2)/100</f>
        <v>0.9839999999999999</v>
      </c>
      <c r="L254" s="205">
        <f>(F254*41)/100</f>
        <v>4.92</v>
      </c>
      <c r="N254" s="747"/>
    </row>
    <row r="255" spans="1:14" ht="12.75">
      <c r="A255" s="340" t="s">
        <v>34</v>
      </c>
      <c r="B255" s="341"/>
      <c r="C255" s="341"/>
      <c r="D255" s="725"/>
      <c r="E255" s="562">
        <v>0.02</v>
      </c>
      <c r="F255" s="564">
        <v>15</v>
      </c>
      <c r="G255" s="505">
        <v>70</v>
      </c>
      <c r="H255" s="214">
        <f>G255*E255</f>
        <v>1.4000000000000001</v>
      </c>
      <c r="I255" s="204">
        <f>(F255*1.3)/100</f>
        <v>0.195</v>
      </c>
      <c r="J255" s="204">
        <f>(F255*0.1)/100</f>
        <v>0.015</v>
      </c>
      <c r="K255" s="204">
        <f>(F255*6.9)/100</f>
        <v>1.035</v>
      </c>
      <c r="L255" s="274">
        <f>(F255*35)/100</f>
        <v>5.25</v>
      </c>
      <c r="N255" s="747"/>
    </row>
    <row r="256" spans="1:14" ht="12.75">
      <c r="A256" s="340" t="s">
        <v>108</v>
      </c>
      <c r="B256" s="341"/>
      <c r="C256" s="341"/>
      <c r="D256" s="725"/>
      <c r="E256" s="562"/>
      <c r="F256" s="564"/>
      <c r="G256" s="505"/>
      <c r="H256" s="214"/>
      <c r="I256" s="257"/>
      <c r="J256" s="258"/>
      <c r="K256" s="54"/>
      <c r="L256" s="259"/>
      <c r="N256" s="747"/>
    </row>
    <row r="257" spans="1:14" ht="12.75">
      <c r="A257" s="68" t="s">
        <v>16</v>
      </c>
      <c r="B257" s="341"/>
      <c r="C257" s="341"/>
      <c r="D257" s="517"/>
      <c r="E257" s="77">
        <v>0.002</v>
      </c>
      <c r="F257" s="78">
        <v>2</v>
      </c>
      <c r="G257" s="79">
        <v>300</v>
      </c>
      <c r="H257" s="290">
        <f>G257*E257</f>
        <v>0.6</v>
      </c>
      <c r="I257" s="45">
        <f>(F257*1)/100</f>
        <v>0.02</v>
      </c>
      <c r="J257" s="45">
        <f>(F257*72.5)/100</f>
        <v>1.45</v>
      </c>
      <c r="K257" s="45">
        <f>(F257*1.4)/100</f>
        <v>0.027999999999999997</v>
      </c>
      <c r="L257" s="46">
        <f>(F257*662)/100</f>
        <v>13.24</v>
      </c>
      <c r="N257" s="747"/>
    </row>
    <row r="258" spans="1:14" ht="12.75">
      <c r="A258" s="340" t="s">
        <v>78</v>
      </c>
      <c r="B258" s="341"/>
      <c r="C258" s="341"/>
      <c r="D258" s="725"/>
      <c r="E258" s="562">
        <v>0.003</v>
      </c>
      <c r="F258" s="564">
        <v>3</v>
      </c>
      <c r="G258" s="505">
        <v>133</v>
      </c>
      <c r="H258" s="214">
        <f>E258*G258</f>
        <v>0.399</v>
      </c>
      <c r="I258" s="258">
        <f>(12.7*F258)/100</f>
        <v>0.38099999999999995</v>
      </c>
      <c r="J258" s="258">
        <f>(F258*11.5)/100</f>
        <v>0.345</v>
      </c>
      <c r="K258" s="258">
        <f>(F258*0.7)/100</f>
        <v>0.021</v>
      </c>
      <c r="L258" s="327">
        <f>(157*F258)/100</f>
        <v>4.71</v>
      </c>
      <c r="N258" s="747"/>
    </row>
    <row r="259" spans="1:14" ht="12.75">
      <c r="A259" s="566" t="s">
        <v>76</v>
      </c>
      <c r="B259" s="567"/>
      <c r="C259" s="567"/>
      <c r="D259" s="748"/>
      <c r="E259" s="527">
        <v>0.003</v>
      </c>
      <c r="F259" s="528">
        <v>3</v>
      </c>
      <c r="G259" s="640">
        <v>49</v>
      </c>
      <c r="H259" s="642">
        <f>E259*G259</f>
        <v>0.147</v>
      </c>
      <c r="I259" s="749">
        <f>(F259*10.8)/100</f>
        <v>0.32400000000000007</v>
      </c>
      <c r="J259" s="749">
        <f>(F259*1.3)/100</f>
        <v>0.03900000000000001</v>
      </c>
      <c r="K259" s="749">
        <f>(F259*69.9)/100</f>
        <v>2.097</v>
      </c>
      <c r="L259" s="750">
        <f>(F259*334)/100</f>
        <v>10.02</v>
      </c>
      <c r="N259" s="747"/>
    </row>
    <row r="260" spans="1:14" ht="12.75">
      <c r="A260" s="309" t="s">
        <v>109</v>
      </c>
      <c r="B260" s="310"/>
      <c r="C260" s="310"/>
      <c r="D260" s="311">
        <v>120</v>
      </c>
      <c r="E260" s="312"/>
      <c r="F260" s="282"/>
      <c r="G260" s="283"/>
      <c r="H260" s="284">
        <f>SUM(H261:H263)</f>
        <v>12.780000000000001</v>
      </c>
      <c r="I260" s="285">
        <f>I261+I262+I263</f>
        <v>3.01</v>
      </c>
      <c r="J260" s="285">
        <f>J261+J262+J263</f>
        <v>4.984999999999999</v>
      </c>
      <c r="K260" s="285">
        <f>K261+K262+K263</f>
        <v>16.66</v>
      </c>
      <c r="L260" s="285">
        <f>L261+L262+L263</f>
        <v>126.4</v>
      </c>
      <c r="N260" s="634"/>
    </row>
    <row r="261" spans="1:14" ht="12.75">
      <c r="A261" s="429" t="s">
        <v>32</v>
      </c>
      <c r="B261" s="430"/>
      <c r="C261" s="430"/>
      <c r="D261" s="751"/>
      <c r="E261" s="752">
        <v>0.15</v>
      </c>
      <c r="F261" s="753">
        <v>90</v>
      </c>
      <c r="G261" s="192">
        <v>56</v>
      </c>
      <c r="H261" s="192">
        <f>E261*G261</f>
        <v>8.4</v>
      </c>
      <c r="I261" s="204">
        <f>(F261*2)/100</f>
        <v>1.8</v>
      </c>
      <c r="J261" s="204">
        <f>(F261*0.4)/100</f>
        <v>0.36</v>
      </c>
      <c r="K261" s="204">
        <f>(F261*16.3)/100</f>
        <v>14.67</v>
      </c>
      <c r="L261" s="205">
        <f>(F261*77)/100</f>
        <v>69.3</v>
      </c>
      <c r="N261" s="221"/>
    </row>
    <row r="262" spans="1:14" ht="12.75">
      <c r="A262" s="429" t="s">
        <v>18</v>
      </c>
      <c r="B262" s="430"/>
      <c r="C262" s="430"/>
      <c r="D262" s="751"/>
      <c r="E262" s="754">
        <v>0.04</v>
      </c>
      <c r="F262" s="755">
        <v>40</v>
      </c>
      <c r="G262" s="756">
        <v>72</v>
      </c>
      <c r="H262" s="756">
        <f>G262*E262</f>
        <v>2.88</v>
      </c>
      <c r="I262" s="63">
        <f>(2.9*F262)/100</f>
        <v>1.16</v>
      </c>
      <c r="J262" s="63">
        <f>(F262*2.5)/100</f>
        <v>1</v>
      </c>
      <c r="K262" s="63">
        <f>(4.8*F262)/100</f>
        <v>1.92</v>
      </c>
      <c r="L262" s="64">
        <f>(F262*60)/100</f>
        <v>24</v>
      </c>
      <c r="N262" s="221"/>
    </row>
    <row r="263" spans="1:14" ht="12.75">
      <c r="A263" s="429" t="s">
        <v>16</v>
      </c>
      <c r="B263" s="430"/>
      <c r="C263" s="430"/>
      <c r="D263" s="751"/>
      <c r="E263" s="544">
        <v>0.005</v>
      </c>
      <c r="F263" s="545">
        <v>5</v>
      </c>
      <c r="G263" s="546">
        <v>300</v>
      </c>
      <c r="H263" s="756">
        <f>G263*E263</f>
        <v>1.5</v>
      </c>
      <c r="I263" s="45">
        <f>(F263*1)/100</f>
        <v>0.05</v>
      </c>
      <c r="J263" s="45">
        <f>(F263*72.5)/100</f>
        <v>3.625</v>
      </c>
      <c r="K263" s="45">
        <f>(F263*1.4)/100</f>
        <v>0.07</v>
      </c>
      <c r="L263" s="46">
        <f>(F263*662)/100</f>
        <v>33.1</v>
      </c>
      <c r="N263" s="221"/>
    </row>
    <row r="264" spans="1:14" ht="12.75">
      <c r="A264" s="1776" t="s">
        <v>42</v>
      </c>
      <c r="B264" s="1776"/>
      <c r="C264" s="1776"/>
      <c r="D264" s="234">
        <v>20</v>
      </c>
      <c r="E264" s="235">
        <v>0.02</v>
      </c>
      <c r="F264" s="236">
        <v>20</v>
      </c>
      <c r="G264" s="137">
        <v>64</v>
      </c>
      <c r="H264" s="138">
        <f>E264*G264</f>
        <v>1.28</v>
      </c>
      <c r="I264" s="757">
        <f>(F264*8)/100</f>
        <v>1.6</v>
      </c>
      <c r="J264" s="757">
        <f>(F264*1)/100</f>
        <v>0.2</v>
      </c>
      <c r="K264" s="757">
        <f>(F264*49.1)/100</f>
        <v>9.82</v>
      </c>
      <c r="L264" s="758">
        <f>(F264*238)/100</f>
        <v>47.6</v>
      </c>
      <c r="N264" s="28"/>
    </row>
    <row r="265" spans="1:14" ht="12.75">
      <c r="A265" s="1781" t="s">
        <v>49</v>
      </c>
      <c r="B265" s="1781"/>
      <c r="C265" s="1781"/>
      <c r="D265" s="347">
        <v>200</v>
      </c>
      <c r="E265" s="178"/>
      <c r="F265" s="180"/>
      <c r="G265" s="180"/>
      <c r="H265" s="348">
        <f>H266+H267+H268</f>
        <v>1.3488000000000002</v>
      </c>
      <c r="I265" s="181">
        <f>SUM(I266:I268)</f>
        <v>0</v>
      </c>
      <c r="J265" s="181">
        <f>SUM(J266:J268)</f>
        <v>0</v>
      </c>
      <c r="K265" s="181">
        <f>SUM(K266:K268)</f>
        <v>11.975999999999999</v>
      </c>
      <c r="L265" s="349">
        <f>SUM(L266:L268)</f>
        <v>47.88</v>
      </c>
      <c r="N265" s="28"/>
    </row>
    <row r="266" spans="1:14" ht="12.75">
      <c r="A266" s="1794" t="s">
        <v>20</v>
      </c>
      <c r="B266" s="1794"/>
      <c r="C266" s="1794"/>
      <c r="D266" s="759"/>
      <c r="E266" s="760">
        <v>0.0006000000000000001</v>
      </c>
      <c r="F266" s="761">
        <v>0.6</v>
      </c>
      <c r="G266" s="79">
        <v>448</v>
      </c>
      <c r="H266" s="80">
        <f>G266*E266</f>
        <v>0.26880000000000004</v>
      </c>
      <c r="I266" s="80"/>
      <c r="J266" s="80"/>
      <c r="K266" s="80"/>
      <c r="L266" s="762"/>
      <c r="N266" s="28"/>
    </row>
    <row r="267" spans="1:14" ht="12.75">
      <c r="A267" s="68" t="s">
        <v>17</v>
      </c>
      <c r="B267" s="69"/>
      <c r="C267" s="69"/>
      <c r="D267" s="759"/>
      <c r="E267" s="77">
        <v>0.012</v>
      </c>
      <c r="F267" s="763">
        <v>12</v>
      </c>
      <c r="G267" s="79">
        <v>90</v>
      </c>
      <c r="H267" s="80">
        <f>G267*E267</f>
        <v>1.08</v>
      </c>
      <c r="I267" s="80"/>
      <c r="J267" s="80"/>
      <c r="K267" s="80">
        <f>(F267*99.8)/100</f>
        <v>11.975999999999999</v>
      </c>
      <c r="L267" s="81">
        <f>(F267*399)/100</f>
        <v>47.88</v>
      </c>
      <c r="N267" s="28"/>
    </row>
    <row r="268" spans="1:14" ht="12.75">
      <c r="A268" s="523"/>
      <c r="B268" s="764"/>
      <c r="C268" s="524"/>
      <c r="D268" s="765"/>
      <c r="E268" s="82"/>
      <c r="F268" s="83"/>
      <c r="G268" s="84"/>
      <c r="H268" s="84"/>
      <c r="I268" s="766"/>
      <c r="J268" s="766"/>
      <c r="K268" s="766"/>
      <c r="L268" s="767"/>
      <c r="N268" s="28"/>
    </row>
    <row r="269" spans="4:14" ht="12.75">
      <c r="D269" s="4"/>
      <c r="N269" s="28"/>
    </row>
    <row r="270" spans="1:14" ht="15.75">
      <c r="A270" s="768"/>
      <c r="B270" s="769"/>
      <c r="C270" s="770" t="s">
        <v>50</v>
      </c>
      <c r="D270" s="658"/>
      <c r="E270" s="771"/>
      <c r="F270" s="771"/>
      <c r="G270" s="772"/>
      <c r="H270" s="660">
        <f>H265+H264+H260+H250</f>
        <v>47.4868</v>
      </c>
      <c r="I270" s="773"/>
      <c r="J270" s="773"/>
      <c r="K270" s="773"/>
      <c r="L270" s="663"/>
      <c r="N270" s="286"/>
    </row>
    <row r="271" spans="1:12" ht="12.75">
      <c r="A271" s="774"/>
      <c r="B271" s="775"/>
      <c r="C271" s="776" t="s">
        <v>24</v>
      </c>
      <c r="D271" s="777"/>
      <c r="E271" s="442"/>
      <c r="F271" s="442"/>
      <c r="G271" s="443"/>
      <c r="H271" s="443"/>
      <c r="I271" s="778">
        <f>I265+I264+I260+I250</f>
        <v>17.778</v>
      </c>
      <c r="J271" s="778">
        <f>J265+J264+J260+J250</f>
        <v>13.305</v>
      </c>
      <c r="K271" s="778">
        <f>K265+K264+K260+K250</f>
        <v>42.67700000000001</v>
      </c>
      <c r="L271" s="778">
        <f>L265+L264+L260+L250</f>
        <v>364.57</v>
      </c>
    </row>
    <row r="272" spans="1:12" ht="12.75">
      <c r="A272" s="779" t="s">
        <v>51</v>
      </c>
      <c r="B272" s="780"/>
      <c r="C272" s="780"/>
      <c r="D272" s="629"/>
      <c r="E272" s="781">
        <v>0.01</v>
      </c>
      <c r="F272" s="430" t="s">
        <v>52</v>
      </c>
      <c r="G272" s="782">
        <v>20</v>
      </c>
      <c r="H272" s="630">
        <f>E272*G272</f>
        <v>0.2</v>
      </c>
      <c r="I272" s="430"/>
      <c r="J272" s="783"/>
      <c r="K272" s="430"/>
      <c r="L272" s="784">
        <f>L271/1800</f>
        <v>0.20253888888888888</v>
      </c>
    </row>
    <row r="273" spans="1:12" ht="15.75">
      <c r="A273" s="785"/>
      <c r="B273" s="786"/>
      <c r="C273" s="787" t="s">
        <v>53</v>
      </c>
      <c r="D273" s="788"/>
      <c r="E273" s="786"/>
      <c r="F273" s="787"/>
      <c r="G273" s="789"/>
      <c r="H273" s="789">
        <f>H272+H270+H246+H212+H206</f>
        <v>155.2646</v>
      </c>
      <c r="I273" s="790"/>
      <c r="J273" s="791"/>
      <c r="K273" s="790"/>
      <c r="L273" s="792"/>
    </row>
    <row r="274" spans="1:12" ht="12.75">
      <c r="A274" s="779"/>
      <c r="B274" s="430"/>
      <c r="C274" s="780"/>
      <c r="D274" s="629"/>
      <c r="E274" s="793"/>
      <c r="F274" s="430" t="s">
        <v>24</v>
      </c>
      <c r="G274" s="782"/>
      <c r="H274" s="782"/>
      <c r="I274" s="430"/>
      <c r="J274" s="783"/>
      <c r="K274" s="430"/>
      <c r="L274" s="794"/>
    </row>
    <row r="275" spans="1:12" ht="12.75">
      <c r="A275" s="779" t="s">
        <v>54</v>
      </c>
      <c r="B275" s="795"/>
      <c r="C275" s="780"/>
      <c r="D275" s="629"/>
      <c r="E275" s="780"/>
      <c r="F275" s="780"/>
      <c r="G275" s="630"/>
      <c r="H275" s="630"/>
      <c r="I275" s="780">
        <f>I271+I247+I210+I207</f>
        <v>57.045</v>
      </c>
      <c r="J275" s="780">
        <f>J271+J247+J210+J207</f>
        <v>53.41499999999999</v>
      </c>
      <c r="K275" s="780">
        <f>K271+K247+K210+K207</f>
        <v>221.65300000000002</v>
      </c>
      <c r="L275" s="780">
        <f>L271+L247+L211+L207</f>
        <v>1635.45</v>
      </c>
    </row>
    <row r="276" spans="1:12" ht="12.75">
      <c r="A276" s="618"/>
      <c r="B276" s="618"/>
      <c r="C276" s="618"/>
      <c r="D276" s="796"/>
      <c r="E276" s="618"/>
      <c r="F276" s="618"/>
      <c r="G276" s="618"/>
      <c r="H276" s="618"/>
      <c r="I276" s="618"/>
      <c r="J276" s="618"/>
      <c r="K276" s="618"/>
      <c r="L276" s="797">
        <f>L275/1800</f>
        <v>0.9085833333333334</v>
      </c>
    </row>
    <row r="277" spans="1:12" ht="12.75">
      <c r="A277" s="618"/>
      <c r="B277" s="618"/>
      <c r="C277" s="618"/>
      <c r="D277" s="796"/>
      <c r="E277" s="618"/>
      <c r="F277" s="618"/>
      <c r="G277" s="618"/>
      <c r="H277" s="618"/>
      <c r="I277" s="618"/>
      <c r="J277" s="618"/>
      <c r="K277" s="618"/>
      <c r="L277" s="797"/>
    </row>
    <row r="278" spans="1:12" ht="12.75">
      <c r="A278" s="618"/>
      <c r="B278" s="618"/>
      <c r="C278" s="618"/>
      <c r="D278" s="796"/>
      <c r="E278" s="618"/>
      <c r="F278" s="618"/>
      <c r="G278" s="618"/>
      <c r="H278" s="618"/>
      <c r="I278" s="618"/>
      <c r="J278" s="618"/>
      <c r="K278" s="618"/>
      <c r="L278" s="797"/>
    </row>
    <row r="279" spans="1:12" ht="12.75">
      <c r="A279" s="618"/>
      <c r="B279" s="618"/>
      <c r="C279" s="618"/>
      <c r="D279" s="796"/>
      <c r="E279" s="618"/>
      <c r="F279" s="618"/>
      <c r="G279" s="618"/>
      <c r="H279" s="618"/>
      <c r="I279" s="618"/>
      <c r="J279" s="618"/>
      <c r="K279" s="618"/>
      <c r="L279" s="797"/>
    </row>
    <row r="280" spans="1:12" ht="12.75">
      <c r="A280" s="618"/>
      <c r="B280" s="618"/>
      <c r="C280" s="618"/>
      <c r="D280" s="796"/>
      <c r="E280" s="618"/>
      <c r="F280" s="618"/>
      <c r="G280" s="618"/>
      <c r="H280" s="618"/>
      <c r="I280" s="618"/>
      <c r="J280" s="618"/>
      <c r="K280" s="618"/>
      <c r="L280" s="797"/>
    </row>
    <row r="281" spans="1:12" ht="12.75">
      <c r="A281" s="618"/>
      <c r="B281" s="618"/>
      <c r="C281" s="618"/>
      <c r="D281" s="796"/>
      <c r="E281" s="618"/>
      <c r="F281" s="618"/>
      <c r="G281" s="618"/>
      <c r="H281" s="618"/>
      <c r="I281" s="618"/>
      <c r="J281" s="618"/>
      <c r="K281" s="618"/>
      <c r="L281" s="797"/>
    </row>
    <row r="282" spans="1:12" ht="12.75">
      <c r="A282" s="618"/>
      <c r="B282" s="618"/>
      <c r="C282" s="618"/>
      <c r="D282" s="796"/>
      <c r="E282" s="618"/>
      <c r="F282" s="618"/>
      <c r="G282" s="618"/>
      <c r="H282" s="618"/>
      <c r="I282" s="618"/>
      <c r="J282" s="618"/>
      <c r="K282" s="618"/>
      <c r="L282" s="797"/>
    </row>
    <row r="283" spans="1:12" ht="12.75">
      <c r="A283" s="618"/>
      <c r="B283" s="618"/>
      <c r="C283" s="618"/>
      <c r="D283" s="796"/>
      <c r="E283" s="618"/>
      <c r="F283" s="618"/>
      <c r="G283" s="618"/>
      <c r="H283" s="618"/>
      <c r="I283" s="618"/>
      <c r="J283" s="618"/>
      <c r="K283" s="618"/>
      <c r="L283" s="797"/>
    </row>
    <row r="284" spans="1:12" ht="15">
      <c r="A284" s="798"/>
      <c r="B284" s="798"/>
      <c r="C284" s="798"/>
      <c r="D284" s="619"/>
      <c r="E284" s="798"/>
      <c r="F284" s="798"/>
      <c r="G284" s="799"/>
      <c r="H284" s="799"/>
      <c r="I284" s="800" t="s">
        <v>110</v>
      </c>
      <c r="J284" s="621"/>
      <c r="K284" s="621"/>
      <c r="L284" s="621"/>
    </row>
    <row r="285" spans="1:12" ht="12.75">
      <c r="A285" s="618"/>
      <c r="B285" s="618"/>
      <c r="C285" s="618"/>
      <c r="D285" s="619" t="s">
        <v>1</v>
      </c>
      <c r="E285" s="618"/>
      <c r="F285" s="618"/>
      <c r="G285" s="620"/>
      <c r="H285" s="620"/>
      <c r="I285" s="618"/>
      <c r="J285" s="796"/>
      <c r="K285" s="618"/>
      <c r="L285" s="796"/>
    </row>
    <row r="286" spans="1:12" ht="25.5">
      <c r="A286" s="1787" t="s">
        <v>2</v>
      </c>
      <c r="B286" s="1787"/>
      <c r="C286" s="1787"/>
      <c r="D286" s="622" t="s">
        <v>3</v>
      </c>
      <c r="E286" s="623" t="s">
        <v>4</v>
      </c>
      <c r="F286" s="623" t="s">
        <v>5</v>
      </c>
      <c r="G286" s="624" t="s">
        <v>6</v>
      </c>
      <c r="H286" s="625" t="s">
        <v>56</v>
      </c>
      <c r="I286" s="623" t="s">
        <v>8</v>
      </c>
      <c r="J286" s="623" t="s">
        <v>9</v>
      </c>
      <c r="K286" s="801" t="s">
        <v>10</v>
      </c>
      <c r="L286" s="623" t="s">
        <v>11</v>
      </c>
    </row>
    <row r="287" spans="1:12" ht="12.75">
      <c r="A287" s="1787"/>
      <c r="B287" s="1787"/>
      <c r="C287" s="1787"/>
      <c r="D287" s="628"/>
      <c r="E287" s="629"/>
      <c r="F287" s="629"/>
      <c r="G287" s="630"/>
      <c r="H287" s="630"/>
      <c r="I287" s="629" t="s">
        <v>12</v>
      </c>
      <c r="J287" s="629"/>
      <c r="K287" s="629"/>
      <c r="L287" s="802"/>
    </row>
    <row r="288" spans="1:12" ht="12.75">
      <c r="A288" s="803"/>
      <c r="B288" s="803"/>
      <c r="C288" s="803"/>
      <c r="D288" s="207"/>
      <c r="E288" s="207"/>
      <c r="F288" s="207"/>
      <c r="G288" s="210"/>
      <c r="H288" s="210"/>
      <c r="I288" s="207"/>
      <c r="J288" s="207"/>
      <c r="K288" s="207"/>
      <c r="L288" s="207"/>
    </row>
    <row r="289" spans="1:12" ht="12.75">
      <c r="A289" s="207" t="s">
        <v>57</v>
      </c>
      <c r="B289" s="633">
        <v>0.3333333333333333</v>
      </c>
      <c r="C289" s="634"/>
      <c r="D289" s="207"/>
      <c r="E289" s="634"/>
      <c r="F289" s="634"/>
      <c r="G289" s="210"/>
      <c r="H289" s="210"/>
      <c r="I289" s="207"/>
      <c r="J289" s="207"/>
      <c r="K289" s="634"/>
      <c r="L289" s="207"/>
    </row>
    <row r="290" spans="1:14" ht="12.75">
      <c r="A290" s="1780" t="s">
        <v>111</v>
      </c>
      <c r="B290" s="1780"/>
      <c r="C290" s="1780"/>
      <c r="D290" s="281">
        <v>200</v>
      </c>
      <c r="E290" s="282"/>
      <c r="F290" s="282"/>
      <c r="G290" s="283"/>
      <c r="H290" s="284">
        <f>H291+H292+H293+H294</f>
        <v>15.784999999999998</v>
      </c>
      <c r="I290" s="285">
        <f>I291+I292+I293+I294</f>
        <v>6.1499999999999995</v>
      </c>
      <c r="J290" s="285">
        <f>J291+J292+J293+J294</f>
        <v>7.625</v>
      </c>
      <c r="K290" s="285">
        <f>K291+K292+K293+K294</f>
        <v>29.762</v>
      </c>
      <c r="L290" s="285">
        <f>L291+L292+L293+L294</f>
        <v>222.31</v>
      </c>
      <c r="N290" s="206"/>
    </row>
    <row r="291" spans="1:14" ht="12.75">
      <c r="A291" s="56" t="s">
        <v>18</v>
      </c>
      <c r="B291" s="57"/>
      <c r="C291" s="57"/>
      <c r="D291" s="58"/>
      <c r="E291" s="59">
        <v>0.15</v>
      </c>
      <c r="F291" s="60">
        <v>150</v>
      </c>
      <c r="G291" s="61">
        <v>72</v>
      </c>
      <c r="H291" s="62">
        <f>E291*G291</f>
        <v>10.799999999999999</v>
      </c>
      <c r="I291" s="63">
        <f>(2.9*F291)/100</f>
        <v>4.35</v>
      </c>
      <c r="J291" s="63">
        <f>(F291*2.5)/100</f>
        <v>3.75</v>
      </c>
      <c r="K291" s="63">
        <f>(4.8*F291)/100</f>
        <v>7.2</v>
      </c>
      <c r="L291" s="64">
        <f>(F291*60)/100</f>
        <v>90</v>
      </c>
      <c r="N291" s="221"/>
    </row>
    <row r="292" spans="1:14" ht="12.75">
      <c r="A292" s="429" t="s">
        <v>16</v>
      </c>
      <c r="B292" s="430"/>
      <c r="C292" s="431"/>
      <c r="D292" s="432"/>
      <c r="E292" s="433">
        <v>0.005</v>
      </c>
      <c r="F292" s="434">
        <v>5</v>
      </c>
      <c r="G292" s="32">
        <v>300</v>
      </c>
      <c r="H292" s="33">
        <f>E292*G292</f>
        <v>1.5</v>
      </c>
      <c r="I292" s="45">
        <f>(F292*1)/100</f>
        <v>0.05</v>
      </c>
      <c r="J292" s="45">
        <f>(F292*72.5)/100</f>
        <v>3.625</v>
      </c>
      <c r="K292" s="45">
        <f>(F292*1.4)/100</f>
        <v>0.07</v>
      </c>
      <c r="L292" s="46">
        <f>(F292*662)/100</f>
        <v>33.1</v>
      </c>
      <c r="N292" s="221"/>
    </row>
    <row r="293" spans="1:14" ht="12.75">
      <c r="A293" s="340" t="s">
        <v>80</v>
      </c>
      <c r="B293" s="341"/>
      <c r="C293" s="341"/>
      <c r="D293" s="517"/>
      <c r="E293" s="77">
        <v>0.025</v>
      </c>
      <c r="F293" s="78">
        <v>25</v>
      </c>
      <c r="G293" s="79">
        <v>125</v>
      </c>
      <c r="H293" s="290">
        <f>G293*E293</f>
        <v>3.125</v>
      </c>
      <c r="I293" s="258">
        <f>(F293*7)/100</f>
        <v>1.75</v>
      </c>
      <c r="J293" s="258">
        <f>(F293*1)/100</f>
        <v>0.25</v>
      </c>
      <c r="K293" s="258">
        <f>(74*F293)/100</f>
        <v>18.5</v>
      </c>
      <c r="L293" s="327">
        <f>(F293*333)/100</f>
        <v>83.25</v>
      </c>
      <c r="N293" s="221"/>
    </row>
    <row r="294" spans="1:14" ht="12.75">
      <c r="A294" s="804" t="s">
        <v>17</v>
      </c>
      <c r="B294" s="805"/>
      <c r="C294" s="806"/>
      <c r="D294" s="807"/>
      <c r="E294" s="544">
        <v>0.004</v>
      </c>
      <c r="F294" s="545">
        <v>4</v>
      </c>
      <c r="G294" s="546">
        <v>90</v>
      </c>
      <c r="H294" s="62">
        <f>E294*G294</f>
        <v>0.36</v>
      </c>
      <c r="I294" s="358"/>
      <c r="J294" s="358"/>
      <c r="K294" s="358">
        <f>(F294*99.8)/100</f>
        <v>3.992</v>
      </c>
      <c r="L294" s="359">
        <f>(F294*399)/100</f>
        <v>15.96</v>
      </c>
      <c r="N294" s="221"/>
    </row>
    <row r="295" spans="1:12" ht="12.75" customHeight="1">
      <c r="A295" s="1780" t="s">
        <v>49</v>
      </c>
      <c r="B295" s="1780"/>
      <c r="C295" s="1780"/>
      <c r="D295" s="637">
        <v>200</v>
      </c>
      <c r="E295" s="282"/>
      <c r="F295" s="282"/>
      <c r="G295" s="283"/>
      <c r="H295" s="284">
        <f>H296+H297</f>
        <v>1.3488000000000002</v>
      </c>
      <c r="I295" s="285">
        <f>I297</f>
        <v>0</v>
      </c>
      <c r="J295" s="285">
        <f>J297</f>
        <v>0</v>
      </c>
      <c r="K295" s="285">
        <f>K297</f>
        <v>11.975999999999999</v>
      </c>
      <c r="L295" s="285">
        <f>L297</f>
        <v>47.88</v>
      </c>
    </row>
    <row r="296" spans="1:12" ht="12.75">
      <c r="A296" s="56" t="s">
        <v>20</v>
      </c>
      <c r="B296" s="221"/>
      <c r="C296" s="57"/>
      <c r="D296" s="638"/>
      <c r="E296" s="639">
        <v>0.0006000000000000001</v>
      </c>
      <c r="F296" s="60">
        <v>0.6000000000000001</v>
      </c>
      <c r="G296" s="61">
        <v>448</v>
      </c>
      <c r="H296" s="192">
        <f>E296*G296</f>
        <v>0.26880000000000004</v>
      </c>
      <c r="I296" s="80"/>
      <c r="J296" s="80"/>
      <c r="K296" s="80"/>
      <c r="L296" s="81"/>
    </row>
    <row r="297" spans="1:12" ht="12.75">
      <c r="A297" s="437" t="s">
        <v>17</v>
      </c>
      <c r="B297" s="438"/>
      <c r="C297" s="438"/>
      <c r="D297" s="440"/>
      <c r="E297" s="527">
        <v>0.012</v>
      </c>
      <c r="F297" s="640">
        <v>12</v>
      </c>
      <c r="G297" s="641">
        <v>90</v>
      </c>
      <c r="H297" s="642">
        <f>E297*G297</f>
        <v>1.08</v>
      </c>
      <c r="I297" s="358"/>
      <c r="J297" s="358"/>
      <c r="K297" s="358">
        <f>(F297*99.8)/100</f>
        <v>11.975999999999999</v>
      </c>
      <c r="L297" s="359">
        <f>(F297*399)/100</f>
        <v>47.88</v>
      </c>
    </row>
    <row r="298" spans="1:12" ht="12.75">
      <c r="A298" s="1795"/>
      <c r="B298" s="1795"/>
      <c r="C298" s="1795"/>
      <c r="D298" s="808"/>
      <c r="E298" s="82"/>
      <c r="F298" s="357"/>
      <c r="G298" s="61"/>
      <c r="H298" s="62"/>
      <c r="I298" s="63"/>
      <c r="J298" s="63"/>
      <c r="K298" s="63"/>
      <c r="L298" s="64"/>
    </row>
    <row r="299" spans="1:12" ht="12.75">
      <c r="A299" s="1776" t="s">
        <v>112</v>
      </c>
      <c r="B299" s="1776"/>
      <c r="C299" s="1776"/>
      <c r="D299" s="809" t="s">
        <v>64</v>
      </c>
      <c r="E299" s="330"/>
      <c r="F299" s="331"/>
      <c r="G299" s="105"/>
      <c r="H299" s="106">
        <f>H300+H301</f>
        <v>7.199999999999999</v>
      </c>
      <c r="I299" s="108">
        <f>I300+I302+I577</f>
        <v>8.2</v>
      </c>
      <c r="J299" s="108">
        <f>J300+J302+J577</f>
        <v>5.3</v>
      </c>
      <c r="K299" s="108">
        <f>K300+K302+K577</f>
        <v>24.33</v>
      </c>
      <c r="L299" s="108">
        <f>L300+L302+L577</f>
        <v>191.4</v>
      </c>
    </row>
    <row r="300" spans="1:12" ht="12.75">
      <c r="A300" s="810" t="s">
        <v>42</v>
      </c>
      <c r="B300" s="811"/>
      <c r="C300" s="812"/>
      <c r="D300" s="813"/>
      <c r="E300" s="814">
        <v>0.03</v>
      </c>
      <c r="F300" s="815">
        <v>30</v>
      </c>
      <c r="G300" s="816">
        <v>64</v>
      </c>
      <c r="H300" s="816">
        <f>E300*G300</f>
        <v>1.92</v>
      </c>
      <c r="I300" s="257">
        <f>(F300*8)/100</f>
        <v>2.4</v>
      </c>
      <c r="J300" s="257">
        <f>(F300*1)/100</f>
        <v>0.3</v>
      </c>
      <c r="K300" s="257">
        <f>(F300*49.1)/100</f>
        <v>14.73</v>
      </c>
      <c r="L300" s="817">
        <f>(F300*238)/100</f>
        <v>71.4</v>
      </c>
    </row>
    <row r="301" spans="1:12" ht="12.75">
      <c r="A301" s="457" t="s">
        <v>65</v>
      </c>
      <c r="B301" s="458"/>
      <c r="C301" s="458"/>
      <c r="D301" s="459"/>
      <c r="E301" s="460">
        <v>0.011</v>
      </c>
      <c r="F301" s="461">
        <v>10</v>
      </c>
      <c r="G301" s="461">
        <v>480</v>
      </c>
      <c r="H301" s="461">
        <f>G301*E301</f>
        <v>5.279999999999999</v>
      </c>
      <c r="I301" s="461">
        <f>(25.6*F301)/100</f>
        <v>2.56</v>
      </c>
      <c r="J301" s="461">
        <f>(26.1*F301)/100</f>
        <v>2.61</v>
      </c>
      <c r="K301" s="461"/>
      <c r="L301" s="462">
        <f>(F301*343)/100</f>
        <v>34.3</v>
      </c>
    </row>
    <row r="302" spans="1:12" ht="12.75">
      <c r="A302" s="457"/>
      <c r="B302" s="458"/>
      <c r="C302" s="458"/>
      <c r="D302" s="459"/>
      <c r="E302" s="460"/>
      <c r="F302" s="461"/>
      <c r="G302" s="461"/>
      <c r="H302" s="461"/>
      <c r="I302" s="818"/>
      <c r="J302" s="818"/>
      <c r="K302" s="818"/>
      <c r="L302" s="819"/>
    </row>
    <row r="303" spans="1:13" ht="15.75">
      <c r="A303" s="656" t="s">
        <v>23</v>
      </c>
      <c r="B303" s="657"/>
      <c r="C303" s="657"/>
      <c r="D303" s="658"/>
      <c r="E303" s="659"/>
      <c r="F303" s="658"/>
      <c r="G303" s="660"/>
      <c r="H303" s="660">
        <f>H299+H295+H290</f>
        <v>24.333799999999997</v>
      </c>
      <c r="I303" s="661"/>
      <c r="J303" s="661"/>
      <c r="K303" s="662"/>
      <c r="L303" s="663"/>
      <c r="M303" s="345"/>
    </row>
    <row r="304" spans="1:13" ht="12.75">
      <c r="A304" s="664"/>
      <c r="B304" s="665" t="s">
        <v>24</v>
      </c>
      <c r="C304" s="666"/>
      <c r="D304" s="667"/>
      <c r="E304" s="668"/>
      <c r="F304" s="667"/>
      <c r="G304" s="669"/>
      <c r="H304" s="669"/>
      <c r="I304" s="670">
        <f>I299+I295+I290</f>
        <v>14.349999999999998</v>
      </c>
      <c r="J304" s="670">
        <f>J299+J295+J290</f>
        <v>12.925</v>
      </c>
      <c r="K304" s="670">
        <f>K299+K295+K290</f>
        <v>66.068</v>
      </c>
      <c r="L304" s="670">
        <f>L299+L295+L290</f>
        <v>461.59000000000003</v>
      </c>
      <c r="M304" s="345"/>
    </row>
    <row r="305" spans="1:13" ht="12.75">
      <c r="A305" s="206"/>
      <c r="B305" s="206"/>
      <c r="C305" s="206"/>
      <c r="D305" s="207"/>
      <c r="E305" s="671"/>
      <c r="F305" s="207"/>
      <c r="G305" s="210"/>
      <c r="H305" s="210"/>
      <c r="I305" s="211"/>
      <c r="J305" s="211"/>
      <c r="K305" s="672"/>
      <c r="L305" s="672">
        <f>L304/1800</f>
        <v>0.2564388888888889</v>
      </c>
      <c r="M305" s="345"/>
    </row>
    <row r="306" spans="1:13" ht="12.75">
      <c r="A306" s="1790" t="s">
        <v>66</v>
      </c>
      <c r="B306" s="1790"/>
      <c r="C306" s="1790"/>
      <c r="D306" s="208"/>
      <c r="E306" s="208"/>
      <c r="F306" s="208"/>
      <c r="G306" s="209"/>
      <c r="H306" s="209"/>
      <c r="I306" s="211"/>
      <c r="J306" s="223"/>
      <c r="K306" s="673"/>
      <c r="L306" s="223"/>
      <c r="M306" s="345"/>
    </row>
    <row r="307" spans="1:13" ht="12.75">
      <c r="A307" s="1774" t="s">
        <v>26</v>
      </c>
      <c r="B307" s="1774"/>
      <c r="C307" s="1774"/>
      <c r="D307" s="135">
        <v>100</v>
      </c>
      <c r="E307" s="136"/>
      <c r="F307" s="136"/>
      <c r="G307" s="137"/>
      <c r="H307" s="138">
        <f>H308</f>
        <v>7</v>
      </c>
      <c r="I307" s="140">
        <f>I308</f>
        <v>0</v>
      </c>
      <c r="J307" s="140">
        <f>J308</f>
        <v>0</v>
      </c>
      <c r="K307" s="140">
        <f>K308</f>
        <v>10.1</v>
      </c>
      <c r="L307" s="140">
        <f>L308</f>
        <v>46</v>
      </c>
      <c r="M307" s="345"/>
    </row>
    <row r="308" spans="1:13" ht="12.75" customHeight="1">
      <c r="A308" s="1778" t="s">
        <v>26</v>
      </c>
      <c r="B308" s="1778"/>
      <c r="C308" s="1778"/>
      <c r="D308" s="141"/>
      <c r="E308" s="142">
        <v>0.1</v>
      </c>
      <c r="F308" s="143">
        <v>100</v>
      </c>
      <c r="G308" s="144">
        <v>70</v>
      </c>
      <c r="H308" s="145">
        <f>E308*G308</f>
        <v>7</v>
      </c>
      <c r="I308" s="143"/>
      <c r="J308" s="143"/>
      <c r="K308" s="143">
        <f>(10.1*F308)/100</f>
        <v>10.1</v>
      </c>
      <c r="L308" s="146">
        <f>(F308*46)/100</f>
        <v>46</v>
      </c>
      <c r="M308" s="345"/>
    </row>
    <row r="309" spans="1:13" ht="12.75">
      <c r="A309" s="682"/>
      <c r="B309" s="683" t="s">
        <v>24</v>
      </c>
      <c r="C309" s="683"/>
      <c r="D309" s="667"/>
      <c r="E309" s="667"/>
      <c r="F309" s="667"/>
      <c r="G309" s="669"/>
      <c r="H309" s="669"/>
      <c r="I309" s="685"/>
      <c r="J309" s="685"/>
      <c r="K309" s="685"/>
      <c r="L309" s="820">
        <f>L307/1800</f>
        <v>0.025555555555555557</v>
      </c>
      <c r="M309" s="345"/>
    </row>
    <row r="310" spans="1:13" ht="12.75">
      <c r="A310" s="821" t="s">
        <v>67</v>
      </c>
      <c r="B310" s="822">
        <v>0.5</v>
      </c>
      <c r="C310" s="823"/>
      <c r="D310" s="824"/>
      <c r="E310" s="824"/>
      <c r="F310" s="824"/>
      <c r="G310" s="825"/>
      <c r="H310" s="825"/>
      <c r="I310" s="826"/>
      <c r="J310" s="826"/>
      <c r="K310" s="827"/>
      <c r="L310" s="828"/>
      <c r="M310" s="345"/>
    </row>
    <row r="311" spans="1:25" ht="29.25" customHeight="1">
      <c r="A311" s="1791" t="s">
        <v>113</v>
      </c>
      <c r="B311" s="1791"/>
      <c r="C311" s="1791"/>
      <c r="D311" s="829" t="s">
        <v>70</v>
      </c>
      <c r="E311" s="693"/>
      <c r="F311" s="104"/>
      <c r="G311" s="105"/>
      <c r="H311" s="106">
        <f>SUM(H312:H318)</f>
        <v>13.114</v>
      </c>
      <c r="I311" s="577">
        <f>SUM(I312:I318)</f>
        <v>2.624</v>
      </c>
      <c r="J311" s="577">
        <f>SUM(J312:J318)</f>
        <v>4.492999999999999</v>
      </c>
      <c r="K311" s="577">
        <f>SUM(K312:K318)</f>
        <v>13.883999999999999</v>
      </c>
      <c r="L311" s="577">
        <f>SUM(L312:L318)</f>
        <v>107.55999999999999</v>
      </c>
      <c r="M311" s="345"/>
      <c r="N311" s="830"/>
      <c r="O311" s="830"/>
      <c r="P311" s="830"/>
      <c r="Q311" s="314"/>
      <c r="R311" s="831"/>
      <c r="S311" s="831"/>
      <c r="T311" s="267"/>
      <c r="U311" s="316"/>
      <c r="V311" s="314"/>
      <c r="W311" s="314"/>
      <c r="X311" s="314"/>
      <c r="Y311" s="314"/>
    </row>
    <row r="312" spans="1:25" ht="12.75">
      <c r="A312" s="340" t="s">
        <v>114</v>
      </c>
      <c r="B312" s="493"/>
      <c r="C312" s="493"/>
      <c r="D312" s="515"/>
      <c r="E312" s="190"/>
      <c r="F312" s="191"/>
      <c r="G312" s="192"/>
      <c r="H312" s="193"/>
      <c r="I312" s="495"/>
      <c r="J312" s="495"/>
      <c r="K312" s="495"/>
      <c r="L312" s="496"/>
      <c r="M312" s="345"/>
      <c r="N312" s="221"/>
      <c r="O312" s="57"/>
      <c r="P312" s="57"/>
      <c r="Q312" s="207"/>
      <c r="R312" s="222"/>
      <c r="S312" s="223"/>
      <c r="T312" s="209"/>
      <c r="U312" s="224"/>
      <c r="V312" s="152"/>
      <c r="W312" s="152"/>
      <c r="X312" s="152"/>
      <c r="Y312" s="152"/>
    </row>
    <row r="313" spans="1:25" ht="12.75">
      <c r="A313" s="340" t="s">
        <v>16</v>
      </c>
      <c r="B313" s="493"/>
      <c r="C313" s="493"/>
      <c r="D313" s="832"/>
      <c r="E313" s="498">
        <v>0.003</v>
      </c>
      <c r="F313" s="435">
        <v>3</v>
      </c>
      <c r="G313" s="32">
        <v>300</v>
      </c>
      <c r="H313" s="33">
        <f>E313*G313</f>
        <v>0.9</v>
      </c>
      <c r="I313" s="45">
        <f>(F313*1)/100</f>
        <v>0.03</v>
      </c>
      <c r="J313" s="45">
        <f>(F313*72.5)/100</f>
        <v>2.175</v>
      </c>
      <c r="K313" s="45">
        <f>(F313*1.4)/100</f>
        <v>0.041999999999999996</v>
      </c>
      <c r="L313" s="46">
        <f>(F313*662)/100</f>
        <v>19.86</v>
      </c>
      <c r="M313" s="345"/>
      <c r="N313" s="221"/>
      <c r="O313" s="57"/>
      <c r="P313" s="57"/>
      <c r="Q313" s="207"/>
      <c r="R313" s="222"/>
      <c r="S313" s="223"/>
      <c r="T313" s="209"/>
      <c r="U313" s="224"/>
      <c r="V313" s="152"/>
      <c r="W313" s="152"/>
      <c r="X313" s="152"/>
      <c r="Y313" s="152"/>
    </row>
    <row r="314" spans="1:25" ht="12.75">
      <c r="A314" s="508" t="s">
        <v>72</v>
      </c>
      <c r="B314" s="509"/>
      <c r="C314" s="509"/>
      <c r="D314" s="833"/>
      <c r="E314" s="510">
        <v>0.01</v>
      </c>
      <c r="F314" s="511">
        <v>10</v>
      </c>
      <c r="G314" s="501">
        <v>156</v>
      </c>
      <c r="H314" s="501">
        <f>E314*G314</f>
        <v>1.56</v>
      </c>
      <c r="I314" s="834">
        <f>(2.5*F314)/100</f>
        <v>0.25</v>
      </c>
      <c r="J314" s="834">
        <f>(20*F314)/100</f>
        <v>2</v>
      </c>
      <c r="K314" s="834">
        <f>(3.4*F314)/100</f>
        <v>0.34</v>
      </c>
      <c r="L314" s="220">
        <f>(206*F314)/100</f>
        <v>20.6</v>
      </c>
      <c r="M314" s="345"/>
      <c r="N314" s="221"/>
      <c r="O314" s="57"/>
      <c r="P314" s="57"/>
      <c r="Q314" s="207"/>
      <c r="R314" s="222"/>
      <c r="S314" s="223"/>
      <c r="T314" s="209"/>
      <c r="U314" s="224"/>
      <c r="V314" s="152"/>
      <c r="W314" s="152"/>
      <c r="X314" s="152"/>
      <c r="Y314" s="152"/>
    </row>
    <row r="315" spans="1:25" ht="12.75">
      <c r="A315" s="340" t="s">
        <v>32</v>
      </c>
      <c r="B315" s="493"/>
      <c r="C315" s="493"/>
      <c r="D315" s="832"/>
      <c r="E315" s="835">
        <v>0.1</v>
      </c>
      <c r="F315" s="85">
        <v>60</v>
      </c>
      <c r="G315" s="535">
        <v>56</v>
      </c>
      <c r="H315" s="501">
        <f>E315*G315</f>
        <v>5.6000000000000005</v>
      </c>
      <c r="I315" s="213">
        <f>(F315*2)/100</f>
        <v>1.2</v>
      </c>
      <c r="J315" s="213">
        <f>(F315*0.4)/100</f>
        <v>0.24</v>
      </c>
      <c r="K315" s="213">
        <f>(F315*16.3)/100</f>
        <v>9.78</v>
      </c>
      <c r="L315" s="216">
        <f>(F315*77)/100</f>
        <v>46.2</v>
      </c>
      <c r="M315" s="345"/>
      <c r="N315" s="221"/>
      <c r="O315" s="57"/>
      <c r="P315" s="57"/>
      <c r="Q315" s="207"/>
      <c r="R315" s="222"/>
      <c r="S315" s="223"/>
      <c r="T315" s="209"/>
      <c r="U315" s="224"/>
      <c r="V315" s="152"/>
      <c r="W315" s="152"/>
      <c r="X315" s="152"/>
      <c r="Y315" s="152"/>
    </row>
    <row r="316" spans="1:25" ht="12.75">
      <c r="A316" s="340" t="s">
        <v>38</v>
      </c>
      <c r="B316" s="493"/>
      <c r="C316" s="493"/>
      <c r="D316" s="832"/>
      <c r="E316" s="498">
        <v>0.063</v>
      </c>
      <c r="F316" s="435">
        <v>50</v>
      </c>
      <c r="G316" s="32">
        <v>56</v>
      </c>
      <c r="H316" s="33">
        <f>E316*G316</f>
        <v>3.528</v>
      </c>
      <c r="I316" s="85">
        <f>(1.8*F316)/100</f>
        <v>0.9</v>
      </c>
      <c r="J316" s="85">
        <f>(F316*0.1)/100</f>
        <v>0.05</v>
      </c>
      <c r="K316" s="85">
        <f>(F316*4.7)/100</f>
        <v>2.35</v>
      </c>
      <c r="L316" s="86">
        <f>(F316*28)/100</f>
        <v>14</v>
      </c>
      <c r="M316" s="345"/>
      <c r="N316" s="221"/>
      <c r="O316" s="57"/>
      <c r="P316" s="57"/>
      <c r="Q316" s="207"/>
      <c r="R316" s="222"/>
      <c r="S316" s="223"/>
      <c r="T316" s="209"/>
      <c r="U316" s="224"/>
      <c r="V316" s="152"/>
      <c r="W316" s="152"/>
      <c r="X316" s="152"/>
      <c r="Y316" s="152"/>
    </row>
    <row r="317" spans="1:25" ht="12.75">
      <c r="A317" s="340" t="s">
        <v>33</v>
      </c>
      <c r="B317" s="341"/>
      <c r="C317" s="341"/>
      <c r="D317" s="520"/>
      <c r="E317" s="212">
        <v>0.012</v>
      </c>
      <c r="F317" s="213">
        <v>10</v>
      </c>
      <c r="G317" s="214">
        <v>63</v>
      </c>
      <c r="H317" s="215">
        <f>E317*G317</f>
        <v>0.756</v>
      </c>
      <c r="I317" s="213">
        <f>(F317*1.4)/100</f>
        <v>0.14</v>
      </c>
      <c r="J317" s="213">
        <f>(F317*0.2)/100</f>
        <v>0.02</v>
      </c>
      <c r="K317" s="213">
        <f>(F317*8.2)/100</f>
        <v>0.82</v>
      </c>
      <c r="L317" s="216">
        <f>(F317*41)/100</f>
        <v>4.1</v>
      </c>
      <c r="M317" s="345"/>
      <c r="N317" s="221"/>
      <c r="O317" s="57"/>
      <c r="P317" s="57"/>
      <c r="Q317" s="207"/>
      <c r="R317" s="222"/>
      <c r="S317" s="223"/>
      <c r="T317" s="209"/>
      <c r="U317" s="224"/>
      <c r="V317" s="233"/>
      <c r="W317" s="233"/>
      <c r="X317" s="233"/>
      <c r="Y317" s="233"/>
    </row>
    <row r="318" spans="1:25" ht="12.75">
      <c r="A318" s="340" t="s">
        <v>34</v>
      </c>
      <c r="B318" s="341"/>
      <c r="C318" s="341"/>
      <c r="D318" s="836"/>
      <c r="E318" s="212">
        <v>0.011</v>
      </c>
      <c r="F318" s="213">
        <v>8</v>
      </c>
      <c r="G318" s="214">
        <v>70</v>
      </c>
      <c r="H318" s="215">
        <f>G318*E318</f>
        <v>0.7699999999999999</v>
      </c>
      <c r="I318" s="213">
        <f>(F318*1.3)/100</f>
        <v>0.10400000000000001</v>
      </c>
      <c r="J318" s="213">
        <f>(F318*0.1)/100</f>
        <v>0.008</v>
      </c>
      <c r="K318" s="213">
        <f>(F318*6.9)/100</f>
        <v>0.552</v>
      </c>
      <c r="L318" s="220">
        <f>(F318*35)/100</f>
        <v>2.8</v>
      </c>
      <c r="M318" s="345"/>
      <c r="N318" s="837"/>
      <c r="O318" s="837"/>
      <c r="P318" s="837"/>
      <c r="Q318" s="247"/>
      <c r="R318" s="838"/>
      <c r="S318" s="221"/>
      <c r="T318" s="224"/>
      <c r="U318" s="224"/>
      <c r="V318" s="237"/>
      <c r="W318" s="237"/>
      <c r="X318" s="237"/>
      <c r="Y318" s="237"/>
    </row>
    <row r="319" spans="1:25" ht="12.75" customHeight="1">
      <c r="A319" s="1774" t="s">
        <v>115</v>
      </c>
      <c r="B319" s="1774"/>
      <c r="C319" s="1774"/>
      <c r="D319" s="839">
        <v>180</v>
      </c>
      <c r="E319" s="236"/>
      <c r="F319" s="236"/>
      <c r="G319" s="137"/>
      <c r="H319" s="138">
        <f>H320+H321+H322+H323+H325+H326+H324</f>
        <v>32.556999999999995</v>
      </c>
      <c r="I319" s="140">
        <f>SUM(I320:I326)</f>
        <v>5.107</v>
      </c>
      <c r="J319" s="140">
        <f>SUM(J320:J326)</f>
        <v>20.294</v>
      </c>
      <c r="K319" s="140">
        <f>SUM(K320:K326)</f>
        <v>31.923000000000002</v>
      </c>
      <c r="L319" s="140">
        <f>SUM(L320:L326)</f>
        <v>359.18</v>
      </c>
      <c r="N319" s="221"/>
      <c r="O319" s="221"/>
      <c r="P319" s="221"/>
      <c r="Q319" s="247"/>
      <c r="R319" s="222"/>
      <c r="S319" s="223"/>
      <c r="T319" s="209"/>
      <c r="U319" s="224"/>
      <c r="V319" s="223"/>
      <c r="W319" s="223"/>
      <c r="X319" s="223"/>
      <c r="Y319" s="223"/>
    </row>
    <row r="320" spans="1:25" ht="12.75" customHeight="1">
      <c r="A320" s="340" t="s">
        <v>75</v>
      </c>
      <c r="B320" s="590"/>
      <c r="C320" s="590"/>
      <c r="D320" s="720"/>
      <c r="E320" s="721">
        <v>0.1</v>
      </c>
      <c r="F320" s="722">
        <v>75</v>
      </c>
      <c r="G320" s="144">
        <v>240</v>
      </c>
      <c r="H320" s="97">
        <f>E320*G320</f>
        <v>24</v>
      </c>
      <c r="I320" s="495"/>
      <c r="J320" s="495">
        <f>(F320*16)/100</f>
        <v>12</v>
      </c>
      <c r="K320" s="495"/>
      <c r="L320" s="496">
        <f>(F320*190)/100</f>
        <v>142.5</v>
      </c>
      <c r="N320" s="221"/>
      <c r="O320" s="221"/>
      <c r="P320" s="221"/>
      <c r="Q320" s="247"/>
      <c r="R320" s="222"/>
      <c r="S320" s="223"/>
      <c r="T320" s="209"/>
      <c r="U320" s="224"/>
      <c r="V320" s="223"/>
      <c r="W320" s="223"/>
      <c r="X320" s="223"/>
      <c r="Y320" s="237"/>
    </row>
    <row r="321" spans="1:14" ht="12.75">
      <c r="A321" s="47" t="s">
        <v>37</v>
      </c>
      <c r="B321" s="48"/>
      <c r="C321" s="48"/>
      <c r="D321" s="840"/>
      <c r="E321" s="51">
        <v>0.004</v>
      </c>
      <c r="F321" s="52">
        <v>4</v>
      </c>
      <c r="G321" s="53">
        <v>129</v>
      </c>
      <c r="H321" s="144">
        <f>G321*E321</f>
        <v>0.516</v>
      </c>
      <c r="I321" s="257"/>
      <c r="J321" s="258">
        <f>(F321*99.9)/100</f>
        <v>3.9960000000000004</v>
      </c>
      <c r="K321" s="54"/>
      <c r="L321" s="259">
        <f>(F321*899)/100</f>
        <v>35.96</v>
      </c>
      <c r="N321" s="206"/>
    </row>
    <row r="322" spans="1:14" ht="12.75">
      <c r="A322" s="47" t="s">
        <v>33</v>
      </c>
      <c r="B322" s="48"/>
      <c r="C322" s="48"/>
      <c r="D322" s="840"/>
      <c r="E322" s="51">
        <v>0.015</v>
      </c>
      <c r="F322" s="52">
        <v>13</v>
      </c>
      <c r="G322" s="53">
        <v>63</v>
      </c>
      <c r="H322" s="144">
        <f>G322*E322</f>
        <v>0.945</v>
      </c>
      <c r="I322" s="204">
        <f>(F322*1.4)/100</f>
        <v>0.182</v>
      </c>
      <c r="J322" s="204">
        <f>(F322*0.2)/100</f>
        <v>0.026000000000000002</v>
      </c>
      <c r="K322" s="204">
        <f>(F322*8.2)/100</f>
        <v>1.0659999999999998</v>
      </c>
      <c r="L322" s="205">
        <f>(F322*41)/100</f>
        <v>5.33</v>
      </c>
      <c r="N322" s="206"/>
    </row>
    <row r="323" spans="1:14" ht="12.75">
      <c r="A323" s="47" t="s">
        <v>34</v>
      </c>
      <c r="B323" s="48"/>
      <c r="C323" s="48"/>
      <c r="D323" s="840"/>
      <c r="E323" s="51">
        <v>0.023</v>
      </c>
      <c r="F323" s="52">
        <v>17</v>
      </c>
      <c r="G323" s="53">
        <v>70</v>
      </c>
      <c r="H323" s="144">
        <f>G323*E323</f>
        <v>1.6099999999999999</v>
      </c>
      <c r="I323" s="204">
        <f>(F323*1.3)/100</f>
        <v>0.221</v>
      </c>
      <c r="J323" s="204">
        <f>(F323*0.1)/100</f>
        <v>0.017</v>
      </c>
      <c r="K323" s="204">
        <f>(F323*6.9)/100</f>
        <v>1.173</v>
      </c>
      <c r="L323" s="274">
        <f>(F323*35)/100</f>
        <v>5.95</v>
      </c>
      <c r="N323" s="206"/>
    </row>
    <row r="324" spans="1:14" ht="12.75">
      <c r="A324" s="340" t="s">
        <v>78</v>
      </c>
      <c r="B324" s="341"/>
      <c r="C324" s="341"/>
      <c r="D324" s="725"/>
      <c r="E324" s="562">
        <v>0.002</v>
      </c>
      <c r="F324" s="564">
        <v>2</v>
      </c>
      <c r="G324" s="505">
        <v>133</v>
      </c>
      <c r="H324" s="214">
        <f>E324*G324</f>
        <v>0.266</v>
      </c>
      <c r="I324" s="258">
        <f>(12.7*F324)/100</f>
        <v>0.254</v>
      </c>
      <c r="J324" s="258">
        <f>(F324*11.5)/100</f>
        <v>0.23</v>
      </c>
      <c r="K324" s="258">
        <f>(F324*0.7)/100</f>
        <v>0.014000000000000002</v>
      </c>
      <c r="L324" s="327">
        <f>(157*F324)/100</f>
        <v>3.14</v>
      </c>
      <c r="N324" s="206"/>
    </row>
    <row r="325" spans="1:14" ht="12.75">
      <c r="A325" s="47" t="s">
        <v>92</v>
      </c>
      <c r="B325" s="48"/>
      <c r="C325" s="48"/>
      <c r="D325" s="840"/>
      <c r="E325" s="261">
        <v>0.04</v>
      </c>
      <c r="F325" s="262">
        <v>40</v>
      </c>
      <c r="G325" s="112">
        <v>93</v>
      </c>
      <c r="H325" s="112">
        <f>G325*E325</f>
        <v>3.72</v>
      </c>
      <c r="I325" s="213">
        <f>(11*F325)/100</f>
        <v>4.4</v>
      </c>
      <c r="J325" s="455">
        <f>(F325*1)/100</f>
        <v>0.4</v>
      </c>
      <c r="K325" s="455">
        <f>(74*F325)/100</f>
        <v>29.6</v>
      </c>
      <c r="L325" s="456">
        <f>(F325*333)/100</f>
        <v>133.2</v>
      </c>
      <c r="N325" s="206"/>
    </row>
    <row r="326" spans="1:14" ht="12.75">
      <c r="A326" s="47" t="s">
        <v>16</v>
      </c>
      <c r="B326" s="48"/>
      <c r="C326" s="48"/>
      <c r="D326" s="840"/>
      <c r="E326" s="51">
        <v>0.005</v>
      </c>
      <c r="F326" s="52">
        <v>5</v>
      </c>
      <c r="G326" s="53">
        <v>300</v>
      </c>
      <c r="H326" s="144">
        <f>G326*E326</f>
        <v>1.5</v>
      </c>
      <c r="I326" s="45">
        <f>(F326*1)/100</f>
        <v>0.05</v>
      </c>
      <c r="J326" s="45">
        <f>(F326*72.5)/100</f>
        <v>3.625</v>
      </c>
      <c r="K326" s="45">
        <f>(F326*1.4)/100</f>
        <v>0.07</v>
      </c>
      <c r="L326" s="46">
        <f>(F326*662)/100</f>
        <v>33.1</v>
      </c>
      <c r="N326" s="206"/>
    </row>
    <row r="327" spans="1:14" ht="12.75">
      <c r="A327" s="1780" t="s">
        <v>116</v>
      </c>
      <c r="B327" s="1780"/>
      <c r="C327" s="1780"/>
      <c r="D327" s="281">
        <v>45</v>
      </c>
      <c r="E327" s="282"/>
      <c r="F327" s="282"/>
      <c r="G327" s="283"/>
      <c r="H327" s="284">
        <f>H330+H329+H328</f>
        <v>3.7580000000000005</v>
      </c>
      <c r="I327" s="285">
        <f>I328+I329+I329</f>
        <v>0.182</v>
      </c>
      <c r="J327" s="285">
        <f>J328+J329+J329</f>
        <v>2.0120000000000005</v>
      </c>
      <c r="K327" s="285">
        <f>K328+K329+K329</f>
        <v>0.9660000000000001</v>
      </c>
      <c r="L327" s="285">
        <f>L328+L329+L329</f>
        <v>22.88</v>
      </c>
      <c r="N327" s="206"/>
    </row>
    <row r="328" spans="1:14" ht="12.75">
      <c r="A328" s="47" t="s">
        <v>37</v>
      </c>
      <c r="B328" s="48"/>
      <c r="C328" s="48"/>
      <c r="D328" s="840"/>
      <c r="E328" s="51">
        <v>0.002</v>
      </c>
      <c r="F328" s="52">
        <v>2</v>
      </c>
      <c r="G328" s="53">
        <v>129</v>
      </c>
      <c r="H328" s="144">
        <f>G328*E328</f>
        <v>0.258</v>
      </c>
      <c r="I328" s="257"/>
      <c r="J328" s="258">
        <f>(F328*99.9)/100</f>
        <v>1.9980000000000002</v>
      </c>
      <c r="K328" s="54"/>
      <c r="L328" s="259">
        <f>(F328*899)/100</f>
        <v>17.98</v>
      </c>
      <c r="N328" s="206"/>
    </row>
    <row r="329" spans="1:14" ht="12.75">
      <c r="A329" s="47" t="s">
        <v>34</v>
      </c>
      <c r="B329" s="48"/>
      <c r="C329" s="48"/>
      <c r="D329" s="840"/>
      <c r="E329" s="51">
        <v>0.01</v>
      </c>
      <c r="F329" s="52">
        <v>7</v>
      </c>
      <c r="G329" s="53">
        <v>70</v>
      </c>
      <c r="H329" s="144">
        <f>G329*E329</f>
        <v>0.7000000000000001</v>
      </c>
      <c r="I329" s="204">
        <f>(F329*1.3)/100</f>
        <v>0.091</v>
      </c>
      <c r="J329" s="204">
        <f>(F329*0.1)/100</f>
        <v>0.007000000000000001</v>
      </c>
      <c r="K329" s="204">
        <f>(F329*6.9)/100</f>
        <v>0.48300000000000004</v>
      </c>
      <c r="L329" s="274">
        <f>(F329*35)/100</f>
        <v>2.45</v>
      </c>
      <c r="N329" s="206"/>
    </row>
    <row r="330" spans="1:14" ht="12.75">
      <c r="A330" s="566" t="s">
        <v>117</v>
      </c>
      <c r="B330" s="841"/>
      <c r="C330" s="841"/>
      <c r="D330" s="842"/>
      <c r="E330" s="843">
        <v>0.05</v>
      </c>
      <c r="F330" s="844">
        <v>40</v>
      </c>
      <c r="G330" s="443">
        <v>56</v>
      </c>
      <c r="H330" s="845">
        <f>E330*G330</f>
        <v>2.8000000000000003</v>
      </c>
      <c r="I330" s="766">
        <f>(1.8*F330)/100</f>
        <v>0.72</v>
      </c>
      <c r="J330" s="766">
        <f>(F330*0.1)/100</f>
        <v>0.04</v>
      </c>
      <c r="K330" s="766">
        <f>(F330*4.7)/100</f>
        <v>1.88</v>
      </c>
      <c r="L330" s="767">
        <f>(F330*28)/100</f>
        <v>11.2</v>
      </c>
      <c r="N330" s="206"/>
    </row>
    <row r="331" spans="1:12" ht="12.75">
      <c r="A331" s="1796" t="s">
        <v>118</v>
      </c>
      <c r="B331" s="1796"/>
      <c r="C331" s="1796"/>
      <c r="D331" s="20">
        <v>200</v>
      </c>
      <c r="E331" s="846"/>
      <c r="F331" s="846"/>
      <c r="G331" s="23"/>
      <c r="H331" s="23">
        <f>H332+H334+H333</f>
        <v>6.132</v>
      </c>
      <c r="I331" s="847">
        <f>I332+I334</f>
        <v>0.075</v>
      </c>
      <c r="J331" s="847">
        <f>J332+J334</f>
        <v>0.03</v>
      </c>
      <c r="K331" s="847">
        <f>K332+K334</f>
        <v>15.525</v>
      </c>
      <c r="L331" s="847">
        <f>L332+L334</f>
        <v>61.050000000000004</v>
      </c>
    </row>
    <row r="332" spans="1:12" ht="12.75">
      <c r="A332" s="196" t="s">
        <v>119</v>
      </c>
      <c r="B332" s="848"/>
      <c r="C332" s="849"/>
      <c r="D332" s="850"/>
      <c r="E332" s="851">
        <v>0.015</v>
      </c>
      <c r="F332" s="852">
        <v>15</v>
      </c>
      <c r="G332" s="200">
        <v>260</v>
      </c>
      <c r="H332" s="200">
        <f>G332*E332</f>
        <v>3.9</v>
      </c>
      <c r="I332" s="85">
        <f>(F332*0.5)/100</f>
        <v>0.075</v>
      </c>
      <c r="J332" s="85">
        <f>(F332*0.2)/100</f>
        <v>0.03</v>
      </c>
      <c r="K332" s="85">
        <f>(F332*3.7)/100</f>
        <v>0.555</v>
      </c>
      <c r="L332" s="86">
        <f>(28*F332)/100</f>
        <v>4.2</v>
      </c>
    </row>
    <row r="333" spans="1:12" ht="12.75">
      <c r="A333" s="196" t="s">
        <v>120</v>
      </c>
      <c r="B333" s="848"/>
      <c r="C333" s="849"/>
      <c r="D333" s="850"/>
      <c r="E333" s="851">
        <v>0.007</v>
      </c>
      <c r="F333" s="852">
        <v>7</v>
      </c>
      <c r="G333" s="200">
        <v>126</v>
      </c>
      <c r="H333" s="200">
        <f>G333*E333</f>
        <v>0.882</v>
      </c>
      <c r="I333" s="85"/>
      <c r="J333" s="85"/>
      <c r="K333" s="85"/>
      <c r="L333" s="86"/>
    </row>
    <row r="334" spans="1:12" ht="12.75">
      <c r="A334" s="37" t="s">
        <v>17</v>
      </c>
      <c r="B334" s="38"/>
      <c r="C334" s="292"/>
      <c r="D334" s="293"/>
      <c r="E334" s="41">
        <v>0.015</v>
      </c>
      <c r="F334" s="42">
        <v>15</v>
      </c>
      <c r="G334" s="43">
        <v>90</v>
      </c>
      <c r="H334" s="43">
        <f>E334*G334</f>
        <v>1.3499999999999999</v>
      </c>
      <c r="I334" s="80"/>
      <c r="J334" s="80"/>
      <c r="K334" s="80">
        <f>(F334*99.8)/100</f>
        <v>14.97</v>
      </c>
      <c r="L334" s="81">
        <f>(F334*379)/100</f>
        <v>56.85</v>
      </c>
    </row>
    <row r="335" spans="1:12" ht="12.75">
      <c r="A335" s="1776" t="s">
        <v>41</v>
      </c>
      <c r="B335" s="1776"/>
      <c r="C335" s="1776"/>
      <c r="D335" s="234">
        <v>50</v>
      </c>
      <c r="E335" s="235">
        <v>0.05</v>
      </c>
      <c r="F335" s="236">
        <v>50</v>
      </c>
      <c r="G335" s="137">
        <v>35</v>
      </c>
      <c r="H335" s="138">
        <f>E335*G335</f>
        <v>1.75</v>
      </c>
      <c r="I335" s="294">
        <f>(6.6*F335)/100</f>
        <v>3.3</v>
      </c>
      <c r="J335" s="294">
        <f>(1.2*F335)/100</f>
        <v>0.6</v>
      </c>
      <c r="K335" s="294">
        <f>(33.4*F335)/100</f>
        <v>16.7</v>
      </c>
      <c r="L335" s="67">
        <f>(174*F335)/100</f>
        <v>87</v>
      </c>
    </row>
    <row r="336" spans="1:12" ht="12.75">
      <c r="A336" s="1774" t="s">
        <v>48</v>
      </c>
      <c r="B336" s="1774"/>
      <c r="C336" s="1774"/>
      <c r="D336" s="853">
        <v>30</v>
      </c>
      <c r="E336" s="66">
        <v>0.03</v>
      </c>
      <c r="F336" s="21">
        <v>30</v>
      </c>
      <c r="G336" s="22">
        <v>64</v>
      </c>
      <c r="H336" s="23">
        <f>E336*G336</f>
        <v>1.92</v>
      </c>
      <c r="I336" s="294">
        <f>(F336*8)/100</f>
        <v>2.4</v>
      </c>
      <c r="J336" s="294">
        <f>(F336*1)/100</f>
        <v>0.3</v>
      </c>
      <c r="K336" s="294">
        <f>(F336*49.1)/100</f>
        <v>14.73</v>
      </c>
      <c r="L336" s="67">
        <f>(F336*238)/100</f>
        <v>71.4</v>
      </c>
    </row>
    <row r="337" spans="1:12" ht="12.75">
      <c r="A337" s="56"/>
      <c r="B337" s="221"/>
      <c r="C337" s="221"/>
      <c r="D337" s="247"/>
      <c r="E337" s="57"/>
      <c r="F337" s="57"/>
      <c r="G337" s="209"/>
      <c r="H337" s="209"/>
      <c r="I337" s="223"/>
      <c r="J337" s="223"/>
      <c r="K337" s="223"/>
      <c r="L337" s="732"/>
    </row>
    <row r="338" spans="1:12" ht="15.75">
      <c r="A338" s="733"/>
      <c r="B338" s="675"/>
      <c r="C338" s="734" t="s">
        <v>43</v>
      </c>
      <c r="D338" s="735"/>
      <c r="E338" s="734"/>
      <c r="F338" s="734"/>
      <c r="G338" s="679"/>
      <c r="H338" s="679">
        <f>H336+H335+H331+H319+H311+H327</f>
        <v>59.231</v>
      </c>
      <c r="I338" s="736"/>
      <c r="J338" s="680"/>
      <c r="K338" s="680"/>
      <c r="L338" s="854">
        <f>L339/1800</f>
        <v>0.39392777777777777</v>
      </c>
    </row>
    <row r="339" spans="1:12" ht="12.75">
      <c r="A339" s="855"/>
      <c r="B339" s="740" t="s">
        <v>24</v>
      </c>
      <c r="C339" s="740"/>
      <c r="D339" s="741"/>
      <c r="E339" s="740"/>
      <c r="F339" s="740"/>
      <c r="G339" s="742"/>
      <c r="H339" s="742"/>
      <c r="I339" s="856">
        <f>I336+I335+I331+I319+I311+I327</f>
        <v>13.688</v>
      </c>
      <c r="J339" s="856">
        <f>J336+J335+J331+J319+J311+J327</f>
        <v>27.729</v>
      </c>
      <c r="K339" s="856">
        <f>K336+K335+K331+K319+K311+K327</f>
        <v>93.728</v>
      </c>
      <c r="L339" s="856">
        <f>L336+L335+L331+L319+L311+L327</f>
        <v>709.0699999999999</v>
      </c>
    </row>
    <row r="340" spans="1:12" ht="12.75">
      <c r="A340" s="857"/>
      <c r="B340" s="313"/>
      <c r="C340" s="313"/>
      <c r="D340" s="314"/>
      <c r="E340" s="313"/>
      <c r="F340" s="313"/>
      <c r="G340" s="316"/>
      <c r="H340" s="316"/>
      <c r="I340" s="858"/>
      <c r="J340" s="858"/>
      <c r="K340" s="858"/>
      <c r="L340" s="316"/>
    </row>
    <row r="341" spans="1:12" ht="12.75">
      <c r="A341" s="211" t="s">
        <v>44</v>
      </c>
      <c r="B341" s="57"/>
      <c r="C341" s="634" t="s">
        <v>105</v>
      </c>
      <c r="D341" s="208"/>
      <c r="E341" s="57"/>
      <c r="F341" s="57"/>
      <c r="G341" s="57"/>
      <c r="H341" s="57"/>
      <c r="I341" s="211"/>
      <c r="J341" s="211"/>
      <c r="K341" s="209"/>
      <c r="L341" s="223"/>
    </row>
    <row r="342" spans="1:25" ht="12.75">
      <c r="A342" s="1780" t="s">
        <v>121</v>
      </c>
      <c r="B342" s="1780"/>
      <c r="C342" s="1780"/>
      <c r="D342" s="556">
        <v>120</v>
      </c>
      <c r="E342" s="282"/>
      <c r="F342" s="282"/>
      <c r="G342" s="283"/>
      <c r="H342" s="284">
        <f>SUM(H343:H350)</f>
        <v>25.692999999999998</v>
      </c>
      <c r="I342" s="285">
        <f>SUM(I343:I349)</f>
        <v>18.715</v>
      </c>
      <c r="J342" s="285">
        <f>SUM(J343:J349)</f>
        <v>15.501999999999999</v>
      </c>
      <c r="K342" s="285">
        <f>SUM(K343:K349)</f>
        <v>17.155</v>
      </c>
      <c r="L342" s="285">
        <f>SUM(L343:L349)</f>
        <v>285.43</v>
      </c>
      <c r="N342" s="206"/>
      <c r="O342" s="206"/>
      <c r="P342" s="206"/>
      <c r="Q342" s="207"/>
      <c r="R342" s="57"/>
      <c r="S342" s="57"/>
      <c r="T342" s="209"/>
      <c r="U342" s="210"/>
      <c r="V342" s="211"/>
      <c r="W342" s="211"/>
      <c r="X342" s="211"/>
      <c r="Y342" s="211"/>
    </row>
    <row r="343" spans="1:25" ht="12.75">
      <c r="A343" s="557" t="s">
        <v>18</v>
      </c>
      <c r="B343" s="558"/>
      <c r="C343" s="558"/>
      <c r="D343" s="559"/>
      <c r="E343" s="454">
        <v>0.04</v>
      </c>
      <c r="F343" s="73">
        <v>40</v>
      </c>
      <c r="G343" s="78">
        <v>72</v>
      </c>
      <c r="H343" s="78">
        <f>G343*E343</f>
        <v>2.88</v>
      </c>
      <c r="I343" s="63">
        <f>(2.9*F343)/100</f>
        <v>1.16</v>
      </c>
      <c r="J343" s="63">
        <f>(F343*2.5)/100</f>
        <v>1</v>
      </c>
      <c r="K343" s="63">
        <f>(4.8*F343)/100</f>
        <v>1.92</v>
      </c>
      <c r="L343" s="64">
        <f>(F343*60)/100</f>
        <v>24</v>
      </c>
      <c r="N343" s="221"/>
      <c r="O343" s="221"/>
      <c r="P343" s="221"/>
      <c r="Q343" s="247"/>
      <c r="R343" s="270"/>
      <c r="S343" s="28"/>
      <c r="T343" s="28"/>
      <c r="U343" s="28"/>
      <c r="V343" s="152"/>
      <c r="W343" s="152"/>
      <c r="X343" s="152"/>
      <c r="Y343" s="152"/>
    </row>
    <row r="344" spans="1:25" ht="12.75">
      <c r="A344" s="340" t="s">
        <v>37</v>
      </c>
      <c r="B344" s="341"/>
      <c r="C344" s="341"/>
      <c r="D344" s="517"/>
      <c r="E344" s="448">
        <v>0.003</v>
      </c>
      <c r="F344" s="560">
        <v>3</v>
      </c>
      <c r="G344" s="447">
        <v>129</v>
      </c>
      <c r="H344" s="200">
        <f>E344*G344</f>
        <v>0.387</v>
      </c>
      <c r="I344" s="521"/>
      <c r="J344" s="455">
        <f>(F344*99.9)/100</f>
        <v>2.9970000000000003</v>
      </c>
      <c r="K344" s="80"/>
      <c r="L344" s="522">
        <f>(F344*899)/100</f>
        <v>26.97</v>
      </c>
      <c r="N344" s="221"/>
      <c r="O344" s="221"/>
      <c r="P344" s="221"/>
      <c r="Q344" s="247"/>
      <c r="R344" s="270"/>
      <c r="S344" s="152"/>
      <c r="T344" s="150"/>
      <c r="U344" s="150"/>
      <c r="V344" s="133"/>
      <c r="W344" s="279"/>
      <c r="X344" s="152"/>
      <c r="Y344" s="561"/>
    </row>
    <row r="345" spans="1:25" ht="12.75">
      <c r="A345" s="340" t="s">
        <v>16</v>
      </c>
      <c r="B345" s="341"/>
      <c r="C345" s="341"/>
      <c r="D345" s="517"/>
      <c r="E345" s="562">
        <v>0.002</v>
      </c>
      <c r="F345" s="505">
        <v>2</v>
      </c>
      <c r="G345" s="214">
        <v>300</v>
      </c>
      <c r="H345" s="78">
        <f>G345*E345</f>
        <v>0.6</v>
      </c>
      <c r="I345" s="518">
        <f>(F345*1)/100</f>
        <v>0.02</v>
      </c>
      <c r="J345" s="518">
        <f>(F345*72.5)/100</f>
        <v>1.45</v>
      </c>
      <c r="K345" s="518">
        <f>(F345*1.4)/100</f>
        <v>0.027999999999999997</v>
      </c>
      <c r="L345" s="519">
        <f>(F345*662)/100</f>
        <v>13.24</v>
      </c>
      <c r="N345" s="221"/>
      <c r="O345" s="221"/>
      <c r="P345" s="221"/>
      <c r="Q345" s="247"/>
      <c r="R345" s="563"/>
      <c r="S345" s="57"/>
      <c r="T345" s="209"/>
      <c r="U345" s="28"/>
      <c r="V345" s="233"/>
      <c r="W345" s="233"/>
      <c r="X345" s="233"/>
      <c r="Y345" s="233"/>
    </row>
    <row r="346" spans="1:25" ht="12.75">
      <c r="A346" s="340" t="s">
        <v>46</v>
      </c>
      <c r="B346" s="341"/>
      <c r="C346" s="341"/>
      <c r="D346" s="517"/>
      <c r="E346" s="562">
        <v>0.012</v>
      </c>
      <c r="F346" s="564">
        <v>11</v>
      </c>
      <c r="G346" s="505">
        <v>230</v>
      </c>
      <c r="H346" s="214">
        <f>E346*G346</f>
        <v>2.7600000000000002</v>
      </c>
      <c r="I346" s="455">
        <f>(12.7*F346)/100</f>
        <v>1.3969999999999998</v>
      </c>
      <c r="J346" s="455">
        <f>(F346*11.5)/100</f>
        <v>1.265</v>
      </c>
      <c r="K346" s="455">
        <f>(F346*0.7)/100</f>
        <v>0.07700000000000001</v>
      </c>
      <c r="L346" s="456">
        <f>(157*F346)/100</f>
        <v>17.27</v>
      </c>
      <c r="N346" s="221"/>
      <c r="O346" s="221"/>
      <c r="P346" s="221"/>
      <c r="Q346" s="247"/>
      <c r="R346" s="563"/>
      <c r="S346" s="565"/>
      <c r="T346" s="57"/>
      <c r="U346" s="209"/>
      <c r="V346" s="279"/>
      <c r="W346" s="279"/>
      <c r="X346" s="279"/>
      <c r="Y346" s="279"/>
    </row>
    <row r="347" spans="1:25" ht="12.75">
      <c r="A347" s="859" t="s">
        <v>85</v>
      </c>
      <c r="B347" s="278"/>
      <c r="C347" s="278"/>
      <c r="D347" s="860"/>
      <c r="E347" s="861">
        <v>0.006</v>
      </c>
      <c r="F347" s="862">
        <v>6</v>
      </c>
      <c r="G347" s="273">
        <v>53</v>
      </c>
      <c r="H347" s="255">
        <f>E347*G347</f>
        <v>0.318</v>
      </c>
      <c r="I347" s="34">
        <f>(E347*10.3)/0.1</f>
        <v>0.618</v>
      </c>
      <c r="J347" s="35">
        <f>(F347*1)/100</f>
        <v>0.06</v>
      </c>
      <c r="K347" s="35">
        <f>(F347*70.6)/100</f>
        <v>4.236</v>
      </c>
      <c r="L347" s="36">
        <f>(F347*329)/100</f>
        <v>19.74</v>
      </c>
      <c r="N347" s="275"/>
      <c r="O347" s="278"/>
      <c r="P347" s="278"/>
      <c r="Q347" s="423"/>
      <c r="R347" s="277"/>
      <c r="S347" s="278"/>
      <c r="T347" s="267"/>
      <c r="U347" s="288"/>
      <c r="V347" s="586"/>
      <c r="W347" s="233"/>
      <c r="X347" s="233"/>
      <c r="Y347" s="233"/>
    </row>
    <row r="348" spans="1:25" ht="12.75">
      <c r="A348" s="340" t="s">
        <v>84</v>
      </c>
      <c r="B348" s="341"/>
      <c r="C348" s="341"/>
      <c r="D348" s="517"/>
      <c r="E348" s="433">
        <v>0.1</v>
      </c>
      <c r="F348" s="434">
        <v>97</v>
      </c>
      <c r="G348" s="214">
        <v>180</v>
      </c>
      <c r="H348" s="78">
        <f>G348*E348</f>
        <v>18</v>
      </c>
      <c r="I348" s="54">
        <f>(16*F348)/100</f>
        <v>15.52</v>
      </c>
      <c r="J348" s="256">
        <f>(F348*9)/100</f>
        <v>8.73</v>
      </c>
      <c r="K348" s="256">
        <f>(3*F348)/100</f>
        <v>2.91</v>
      </c>
      <c r="L348" s="532">
        <f>(157*F348)/100</f>
        <v>152.29</v>
      </c>
      <c r="M348" s="345"/>
      <c r="N348" s="221"/>
      <c r="O348" s="221"/>
      <c r="P348" s="221"/>
      <c r="Q348" s="247"/>
      <c r="R348" s="563"/>
      <c r="S348" s="57"/>
      <c r="T348" s="209"/>
      <c r="U348" s="28"/>
      <c r="V348" s="291"/>
      <c r="W348" s="291"/>
      <c r="X348" s="291"/>
      <c r="Y348" s="291"/>
    </row>
    <row r="349" spans="1:25" ht="12.75">
      <c r="A349" s="340" t="s">
        <v>17</v>
      </c>
      <c r="B349" s="341"/>
      <c r="C349" s="341"/>
      <c r="D349" s="517"/>
      <c r="E349" s="562">
        <v>0.008</v>
      </c>
      <c r="F349" s="505">
        <v>8</v>
      </c>
      <c r="G349" s="214">
        <v>90</v>
      </c>
      <c r="H349" s="78">
        <f>G349*E349</f>
        <v>0.72</v>
      </c>
      <c r="I349" s="80"/>
      <c r="J349" s="80"/>
      <c r="K349" s="80">
        <f>(F349*99.8)/100</f>
        <v>7.984</v>
      </c>
      <c r="L349" s="81">
        <f>(F349*399)/100</f>
        <v>31.92</v>
      </c>
      <c r="M349" s="345"/>
      <c r="N349" s="221"/>
      <c r="O349" s="221"/>
      <c r="P349" s="221"/>
      <c r="Q349" s="247"/>
      <c r="R349" s="563"/>
      <c r="S349" s="57"/>
      <c r="T349" s="209"/>
      <c r="U349" s="28"/>
      <c r="V349" s="152"/>
      <c r="W349" s="152"/>
      <c r="X349" s="152"/>
      <c r="Y349" s="152"/>
    </row>
    <row r="350" spans="1:25" ht="12.75">
      <c r="A350" s="566" t="s">
        <v>86</v>
      </c>
      <c r="B350" s="567"/>
      <c r="C350" s="567"/>
      <c r="D350" s="568"/>
      <c r="E350" s="569">
        <v>2E-05</v>
      </c>
      <c r="F350" s="83">
        <v>0.02</v>
      </c>
      <c r="G350" s="83">
        <v>1400</v>
      </c>
      <c r="H350" s="83">
        <f>G350*E350</f>
        <v>0.028</v>
      </c>
      <c r="I350" s="570"/>
      <c r="J350" s="570"/>
      <c r="K350" s="570"/>
      <c r="L350" s="571"/>
      <c r="M350" s="345"/>
      <c r="N350" s="221"/>
      <c r="O350" s="221"/>
      <c r="P350" s="221"/>
      <c r="Q350" s="247"/>
      <c r="R350" s="594"/>
      <c r="S350" s="28"/>
      <c r="T350" s="28"/>
      <c r="U350" s="28"/>
      <c r="V350" s="223"/>
      <c r="W350" s="223"/>
      <c r="X350" s="223"/>
      <c r="Y350" s="237"/>
    </row>
    <row r="351" spans="1:14" ht="12.75">
      <c r="A351" s="360" t="s">
        <v>122</v>
      </c>
      <c r="B351" s="572"/>
      <c r="C351" s="573"/>
      <c r="D351" s="574">
        <v>20</v>
      </c>
      <c r="E351" s="575"/>
      <c r="F351" s="574"/>
      <c r="G351" s="576"/>
      <c r="H351" s="576">
        <f>H352</f>
        <v>2.66</v>
      </c>
      <c r="I351" s="577">
        <f>I352</f>
        <v>1.44</v>
      </c>
      <c r="J351" s="577">
        <f>J352</f>
        <v>1.7</v>
      </c>
      <c r="K351" s="577">
        <f>K352</f>
        <v>11.1</v>
      </c>
      <c r="L351" s="577">
        <f>L352</f>
        <v>65.6</v>
      </c>
      <c r="M351" s="345"/>
      <c r="N351" s="221"/>
    </row>
    <row r="352" spans="1:14" ht="12.75">
      <c r="A352" s="578" t="s">
        <v>122</v>
      </c>
      <c r="B352" s="579"/>
      <c r="C352" s="580"/>
      <c r="D352" s="581"/>
      <c r="E352" s="582">
        <v>0.02</v>
      </c>
      <c r="F352" s="583">
        <v>20</v>
      </c>
      <c r="G352" s="584">
        <v>133</v>
      </c>
      <c r="H352" s="585">
        <f>E352*G352</f>
        <v>2.66</v>
      </c>
      <c r="I352" s="45">
        <f>(F352*7.2)/100</f>
        <v>1.44</v>
      </c>
      <c r="J352" s="45">
        <f>(F352*8.5)/100</f>
        <v>1.7</v>
      </c>
      <c r="K352" s="45">
        <f>(F352*55.5)/100</f>
        <v>11.1</v>
      </c>
      <c r="L352" s="46">
        <f>(F352*328)/100</f>
        <v>65.6</v>
      </c>
      <c r="M352" s="345"/>
      <c r="N352" s="221"/>
    </row>
    <row r="353" spans="1:14" ht="12.75" customHeight="1">
      <c r="A353" s="1780" t="s">
        <v>49</v>
      </c>
      <c r="B353" s="1780"/>
      <c r="C353" s="1780"/>
      <c r="D353" s="637">
        <v>200</v>
      </c>
      <c r="E353" s="282"/>
      <c r="F353" s="282"/>
      <c r="G353" s="283"/>
      <c r="H353" s="284">
        <f>H354+H355</f>
        <v>1.3488000000000002</v>
      </c>
      <c r="I353" s="285">
        <f>I355</f>
        <v>0</v>
      </c>
      <c r="J353" s="285">
        <f>J355</f>
        <v>0</v>
      </c>
      <c r="K353" s="285">
        <f>K355</f>
        <v>11.975999999999999</v>
      </c>
      <c r="L353" s="285">
        <f>L355</f>
        <v>47.88</v>
      </c>
      <c r="M353" s="345"/>
      <c r="N353" s="221"/>
    </row>
    <row r="354" spans="1:14" ht="12.75" customHeight="1">
      <c r="A354" s="56" t="s">
        <v>20</v>
      </c>
      <c r="B354" s="221"/>
      <c r="C354" s="57"/>
      <c r="D354" s="638"/>
      <c r="E354" s="639">
        <v>0.0006000000000000001</v>
      </c>
      <c r="F354" s="60">
        <v>0.6000000000000001</v>
      </c>
      <c r="G354" s="61">
        <v>448</v>
      </c>
      <c r="H354" s="192">
        <f>E354*G354</f>
        <v>0.26880000000000004</v>
      </c>
      <c r="I354" s="80"/>
      <c r="J354" s="80"/>
      <c r="K354" s="80"/>
      <c r="L354" s="81"/>
      <c r="M354" s="345"/>
      <c r="N354" s="221"/>
    </row>
    <row r="355" spans="1:14" ht="12.75">
      <c r="A355" s="437" t="s">
        <v>17</v>
      </c>
      <c r="B355" s="438"/>
      <c r="C355" s="438"/>
      <c r="D355" s="440"/>
      <c r="E355" s="527">
        <v>0.012</v>
      </c>
      <c r="F355" s="640">
        <v>12</v>
      </c>
      <c r="G355" s="641">
        <v>90</v>
      </c>
      <c r="H355" s="642">
        <f>E355*G355</f>
        <v>1.08</v>
      </c>
      <c r="I355" s="358"/>
      <c r="J355" s="358"/>
      <c r="K355" s="358">
        <f>(F355*99.8)/100</f>
        <v>11.975999999999999</v>
      </c>
      <c r="L355" s="359">
        <f>(F355*399)/100</f>
        <v>47.88</v>
      </c>
      <c r="N355" s="221"/>
    </row>
    <row r="356" spans="1:14" ht="12.75">
      <c r="A356" s="863"/>
      <c r="B356" s="864"/>
      <c r="C356" s="864"/>
      <c r="D356" s="207"/>
      <c r="E356" s="223"/>
      <c r="F356" s="223"/>
      <c r="G356" s="209"/>
      <c r="H356" s="210"/>
      <c r="I356" s="211"/>
      <c r="J356" s="211"/>
      <c r="K356" s="211"/>
      <c r="L356" s="865"/>
      <c r="N356" s="221"/>
    </row>
    <row r="357" spans="1:14" ht="15.75">
      <c r="A357" s="768"/>
      <c r="B357" s="769"/>
      <c r="C357" s="770" t="s">
        <v>50</v>
      </c>
      <c r="D357" s="658"/>
      <c r="E357" s="771"/>
      <c r="F357" s="771"/>
      <c r="G357" s="772"/>
      <c r="H357" s="660">
        <f>H353+H351+H342</f>
        <v>29.7018</v>
      </c>
      <c r="I357" s="773"/>
      <c r="J357" s="773"/>
      <c r="K357" s="773"/>
      <c r="L357" s="663"/>
      <c r="N357" s="221"/>
    </row>
    <row r="358" spans="1:14" ht="12.75">
      <c r="A358" s="774"/>
      <c r="B358" s="775"/>
      <c r="C358" s="776" t="s">
        <v>24</v>
      </c>
      <c r="D358" s="777"/>
      <c r="E358" s="442"/>
      <c r="F358" s="442"/>
      <c r="G358" s="443"/>
      <c r="H358" s="443"/>
      <c r="I358" s="778">
        <f>I353+I351+I342</f>
        <v>20.155</v>
      </c>
      <c r="J358" s="778">
        <f>J353+J351+J342</f>
        <v>17.201999999999998</v>
      </c>
      <c r="K358" s="778">
        <f>K353+K351+K342</f>
        <v>40.231</v>
      </c>
      <c r="L358" s="778">
        <f>L353+L351+L342</f>
        <v>398.90999999999997</v>
      </c>
      <c r="N358" s="221"/>
    </row>
    <row r="359" spans="1:14" ht="12.75">
      <c r="A359" s="866"/>
      <c r="B359" s="618"/>
      <c r="C359" s="867"/>
      <c r="D359" s="868"/>
      <c r="E359" s="867"/>
      <c r="F359" s="867"/>
      <c r="G359" s="869"/>
      <c r="H359" s="869"/>
      <c r="I359" s="870"/>
      <c r="J359" s="870"/>
      <c r="K359" s="870"/>
      <c r="L359" s="871"/>
      <c r="N359" s="221"/>
    </row>
    <row r="360" spans="1:12" ht="12.75">
      <c r="A360" s="779" t="s">
        <v>51</v>
      </c>
      <c r="B360" s="780"/>
      <c r="C360" s="780"/>
      <c r="D360" s="629"/>
      <c r="E360" s="781">
        <v>0.008</v>
      </c>
      <c r="F360" s="430" t="s">
        <v>52</v>
      </c>
      <c r="G360" s="782">
        <v>20</v>
      </c>
      <c r="H360" s="630">
        <f>E360*G360</f>
        <v>0.16</v>
      </c>
      <c r="I360" s="872"/>
      <c r="J360" s="872"/>
      <c r="K360" s="872"/>
      <c r="L360" s="873"/>
    </row>
    <row r="361" spans="1:12" ht="12.75">
      <c r="A361" s="874"/>
      <c r="B361" s="431"/>
      <c r="C361" s="780"/>
      <c r="D361" s="629"/>
      <c r="E361" s="780"/>
      <c r="F361" s="780"/>
      <c r="G361" s="630"/>
      <c r="H361" s="630"/>
      <c r="I361" s="872"/>
      <c r="J361" s="872"/>
      <c r="K361" s="872"/>
      <c r="L361" s="875"/>
    </row>
    <row r="362" spans="1:12" ht="15.75">
      <c r="A362" s="785"/>
      <c r="B362" s="786"/>
      <c r="C362" s="787" t="s">
        <v>53</v>
      </c>
      <c r="D362" s="788"/>
      <c r="E362" s="786"/>
      <c r="F362" s="787"/>
      <c r="G362" s="789"/>
      <c r="H362" s="789">
        <f>H360+H357+H338+H308+H303</f>
        <v>120.4266</v>
      </c>
      <c r="I362" s="876"/>
      <c r="J362" s="876"/>
      <c r="K362" s="876"/>
      <c r="L362" s="877">
        <f>L358/1800</f>
        <v>0.22161666666666666</v>
      </c>
    </row>
    <row r="363" spans="1:12" ht="12.75">
      <c r="A363" s="779"/>
      <c r="B363" s="430"/>
      <c r="C363" s="780"/>
      <c r="D363" s="629"/>
      <c r="E363" s="793"/>
      <c r="F363" s="430" t="s">
        <v>24</v>
      </c>
      <c r="G363" s="782"/>
      <c r="H363" s="782"/>
      <c r="I363" s="872"/>
      <c r="J363" s="872"/>
      <c r="K363" s="872"/>
      <c r="L363" s="878"/>
    </row>
    <row r="364" spans="1:12" ht="12.75">
      <c r="A364" s="879" t="s">
        <v>54</v>
      </c>
      <c r="B364" s="880"/>
      <c r="C364" s="881"/>
      <c r="D364" s="882"/>
      <c r="E364" s="881"/>
      <c r="F364" s="881"/>
      <c r="G364" s="883"/>
      <c r="H364" s="883"/>
      <c r="I364" s="884">
        <f>I358+I339+I307+I304</f>
        <v>48.193</v>
      </c>
      <c r="J364" s="884">
        <f>J358+J339+J307+J304</f>
        <v>57.855999999999995</v>
      </c>
      <c r="K364" s="884">
        <f>K358+K339+K307+K304</f>
        <v>210.127</v>
      </c>
      <c r="L364" s="884">
        <f>L358+L339+L307+L304</f>
        <v>1615.5700000000002</v>
      </c>
    </row>
    <row r="365" spans="1:12" ht="12.75">
      <c r="A365" s="618"/>
      <c r="B365" s="618"/>
      <c r="C365" s="618"/>
      <c r="D365" s="796"/>
      <c r="E365" s="618"/>
      <c r="F365" s="618"/>
      <c r="G365" s="618"/>
      <c r="H365" s="618"/>
      <c r="I365" s="621"/>
      <c r="J365" s="621"/>
      <c r="K365" s="621"/>
      <c r="L365" s="885">
        <f>L364/1800</f>
        <v>0.897538888888889</v>
      </c>
    </row>
    <row r="366" spans="1:12" ht="12.75">
      <c r="A366" s="618"/>
      <c r="B366" s="618"/>
      <c r="C366" s="618"/>
      <c r="D366" s="796"/>
      <c r="E366" s="618"/>
      <c r="F366" s="618"/>
      <c r="G366" s="618"/>
      <c r="H366" s="618"/>
      <c r="I366" s="621"/>
      <c r="J366" s="621"/>
      <c r="K366" s="621"/>
      <c r="L366" s="885"/>
    </row>
    <row r="367" spans="1:12" ht="12.75">
      <c r="A367" s="618"/>
      <c r="B367" s="618"/>
      <c r="C367" s="618"/>
      <c r="D367" s="796"/>
      <c r="E367" s="618"/>
      <c r="F367" s="618"/>
      <c r="G367" s="618"/>
      <c r="H367" s="618"/>
      <c r="I367" s="621"/>
      <c r="J367" s="621"/>
      <c r="K367" s="621"/>
      <c r="L367" s="885"/>
    </row>
    <row r="368" spans="1:12" ht="12.75">
      <c r="A368" s="618"/>
      <c r="B368" s="618"/>
      <c r="C368" s="618"/>
      <c r="D368" s="796"/>
      <c r="E368" s="618"/>
      <c r="F368" s="618"/>
      <c r="G368" s="618"/>
      <c r="H368" s="618"/>
      <c r="I368" s="621"/>
      <c r="J368" s="621"/>
      <c r="K368" s="621"/>
      <c r="L368" s="885"/>
    </row>
    <row r="369" spans="1:12" ht="12.75">
      <c r="A369" s="618"/>
      <c r="B369" s="618"/>
      <c r="C369" s="618"/>
      <c r="D369" s="796"/>
      <c r="E369" s="618"/>
      <c r="F369" s="618"/>
      <c r="G369" s="618"/>
      <c r="H369" s="618"/>
      <c r="I369" s="621"/>
      <c r="J369" s="621"/>
      <c r="K369" s="621"/>
      <c r="L369" s="885"/>
    </row>
    <row r="370" spans="1:12" ht="12.75">
      <c r="A370" s="618"/>
      <c r="B370" s="618"/>
      <c r="C370" s="618"/>
      <c r="D370" s="796"/>
      <c r="E370" s="618"/>
      <c r="F370" s="618"/>
      <c r="G370" s="618"/>
      <c r="H370" s="618"/>
      <c r="I370" s="621"/>
      <c r="J370" s="621"/>
      <c r="K370" s="621"/>
      <c r="L370" s="885"/>
    </row>
    <row r="371" spans="1:12" ht="12.75">
      <c r="A371" s="618"/>
      <c r="B371" s="618"/>
      <c r="C371" s="618"/>
      <c r="D371" s="796"/>
      <c r="E371" s="618"/>
      <c r="F371" s="618"/>
      <c r="G371" s="618"/>
      <c r="H371" s="618"/>
      <c r="I371" s="621"/>
      <c r="J371" s="621"/>
      <c r="K371" s="621"/>
      <c r="L371" s="885"/>
    </row>
    <row r="372" spans="1:12" ht="12.75">
      <c r="A372" s="618"/>
      <c r="B372" s="618"/>
      <c r="C372" s="618"/>
      <c r="D372" s="796"/>
      <c r="E372" s="618"/>
      <c r="F372" s="618"/>
      <c r="G372" s="618"/>
      <c r="H372" s="618"/>
      <c r="I372" s="621"/>
      <c r="J372" s="621"/>
      <c r="K372" s="621"/>
      <c r="L372" s="885"/>
    </row>
    <row r="373" spans="1:12" ht="12.75">
      <c r="A373" s="618"/>
      <c r="B373" s="618"/>
      <c r="C373" s="618"/>
      <c r="D373" s="796"/>
      <c r="E373" s="618"/>
      <c r="F373" s="618"/>
      <c r="G373" s="618"/>
      <c r="H373" s="618"/>
      <c r="I373" s="621"/>
      <c r="J373" s="621"/>
      <c r="K373" s="621"/>
      <c r="L373" s="885"/>
    </row>
    <row r="374" spans="1:12" ht="12.75">
      <c r="A374" s="618"/>
      <c r="B374" s="618"/>
      <c r="C374" s="618"/>
      <c r="D374" s="796"/>
      <c r="E374" s="618"/>
      <c r="F374" s="618"/>
      <c r="G374" s="618"/>
      <c r="H374" s="618"/>
      <c r="I374" s="621"/>
      <c r="J374" s="621"/>
      <c r="K374" s="621"/>
      <c r="L374" s="885"/>
    </row>
    <row r="375" spans="1:12" ht="12.75">
      <c r="A375" s="618"/>
      <c r="B375" s="618"/>
      <c r="C375" s="618"/>
      <c r="D375" s="796"/>
      <c r="E375" s="618"/>
      <c r="F375" s="618"/>
      <c r="G375" s="618"/>
      <c r="H375" s="618"/>
      <c r="I375" s="621"/>
      <c r="J375" s="621"/>
      <c r="K375" s="621"/>
      <c r="L375" s="885"/>
    </row>
    <row r="376" spans="1:12" ht="12.75">
      <c r="A376" s="618"/>
      <c r="B376" s="618"/>
      <c r="C376" s="618"/>
      <c r="D376" s="796"/>
      <c r="E376" s="618"/>
      <c r="F376" s="618"/>
      <c r="G376" s="618"/>
      <c r="H376" s="618"/>
      <c r="I376" s="621"/>
      <c r="J376" s="621"/>
      <c r="K376" s="621"/>
      <c r="L376" s="885"/>
    </row>
    <row r="377" spans="1:12" ht="12.75">
      <c r="A377" s="618"/>
      <c r="B377" s="618"/>
      <c r="C377" s="618"/>
      <c r="D377" s="796"/>
      <c r="E377" s="618"/>
      <c r="F377" s="618"/>
      <c r="G377" s="618"/>
      <c r="H377" s="618"/>
      <c r="I377" s="621"/>
      <c r="J377" s="621"/>
      <c r="K377" s="621"/>
      <c r="L377" s="885"/>
    </row>
    <row r="378" spans="1:12" ht="12.75">
      <c r="A378" s="618"/>
      <c r="B378" s="618"/>
      <c r="C378" s="618"/>
      <c r="D378" s="796"/>
      <c r="E378" s="618"/>
      <c r="F378" s="618"/>
      <c r="G378" s="618"/>
      <c r="H378" s="618"/>
      <c r="I378" s="621"/>
      <c r="J378" s="621"/>
      <c r="K378" s="621"/>
      <c r="L378" s="885"/>
    </row>
    <row r="379" spans="1:12" ht="15">
      <c r="A379" s="798"/>
      <c r="B379" s="798"/>
      <c r="C379" s="798"/>
      <c r="D379" s="619"/>
      <c r="E379" s="798"/>
      <c r="F379" s="798"/>
      <c r="G379" s="799"/>
      <c r="H379" s="799"/>
      <c r="I379" s="886" t="s">
        <v>123</v>
      </c>
      <c r="J379" s="796"/>
      <c r="K379" s="618"/>
      <c r="L379" s="796"/>
    </row>
    <row r="380" spans="1:12" ht="12.75">
      <c r="A380" s="618"/>
      <c r="B380" s="618"/>
      <c r="C380" s="618"/>
      <c r="D380" s="619" t="s">
        <v>1</v>
      </c>
      <c r="E380" s="618"/>
      <c r="F380" s="618"/>
      <c r="G380" s="620"/>
      <c r="H380" s="620"/>
      <c r="I380" s="618"/>
      <c r="J380" s="796"/>
      <c r="K380" s="618"/>
      <c r="L380" s="796"/>
    </row>
    <row r="381" spans="1:12" ht="25.5">
      <c r="A381" s="1787" t="s">
        <v>2</v>
      </c>
      <c r="B381" s="1787"/>
      <c r="C381" s="1787"/>
      <c r="D381" s="622" t="s">
        <v>3</v>
      </c>
      <c r="E381" s="623" t="s">
        <v>4</v>
      </c>
      <c r="F381" s="623" t="s">
        <v>5</v>
      </c>
      <c r="G381" s="624" t="s">
        <v>6</v>
      </c>
      <c r="H381" s="625" t="s">
        <v>56</v>
      </c>
      <c r="I381" s="623" t="s">
        <v>8</v>
      </c>
      <c r="J381" s="623" t="s">
        <v>9</v>
      </c>
      <c r="K381" s="801" t="s">
        <v>10</v>
      </c>
      <c r="L381" s="623" t="s">
        <v>11</v>
      </c>
    </row>
    <row r="382" spans="1:12" ht="12.75">
      <c r="A382" s="1787"/>
      <c r="B382" s="1787"/>
      <c r="C382" s="1787"/>
      <c r="D382" s="628"/>
      <c r="E382" s="629"/>
      <c r="F382" s="629"/>
      <c r="G382" s="630"/>
      <c r="H382" s="630"/>
      <c r="I382" s="629" t="s">
        <v>12</v>
      </c>
      <c r="J382" s="629"/>
      <c r="K382" s="629"/>
      <c r="L382" s="802"/>
    </row>
    <row r="383" spans="1:12" ht="12.75">
      <c r="A383" s="803"/>
      <c r="B383" s="803"/>
      <c r="C383" s="803"/>
      <c r="D383" s="207"/>
      <c r="E383" s="207"/>
      <c r="F383" s="207"/>
      <c r="G383" s="210"/>
      <c r="H383" s="210"/>
      <c r="I383" s="207"/>
      <c r="J383" s="207"/>
      <c r="K383" s="207"/>
      <c r="L383" s="207"/>
    </row>
    <row r="384" spans="1:12" ht="12.75">
      <c r="A384" s="634"/>
      <c r="B384" s="634"/>
      <c r="C384" s="634"/>
      <c r="D384" s="207"/>
      <c r="E384" s="634"/>
      <c r="F384" s="634"/>
      <c r="G384" s="210"/>
      <c r="H384" s="210"/>
      <c r="I384" s="207" t="s">
        <v>57</v>
      </c>
      <c r="J384" s="207" t="s">
        <v>58</v>
      </c>
      <c r="K384" s="634"/>
      <c r="L384" s="207"/>
    </row>
    <row r="385" spans="1:12" ht="12.75">
      <c r="A385" s="1773" t="s">
        <v>124</v>
      </c>
      <c r="B385" s="1773"/>
      <c r="C385" s="1773"/>
      <c r="D385" s="20">
        <v>200</v>
      </c>
      <c r="E385" s="21"/>
      <c r="F385" s="21"/>
      <c r="G385" s="22"/>
      <c r="H385" s="23">
        <f>H386+H387+H389+H388</f>
        <v>13.919999999999998</v>
      </c>
      <c r="I385" s="24">
        <f>SUM(I386:I389)</f>
        <v>6.6</v>
      </c>
      <c r="J385" s="24">
        <f>SUM(J386:J389)</f>
        <v>7.635</v>
      </c>
      <c r="K385" s="24">
        <f>SUM(K386:K389)</f>
        <v>25.182</v>
      </c>
      <c r="L385" s="24">
        <f>SUM(L386:L389)</f>
        <v>206.66</v>
      </c>
    </row>
    <row r="386" spans="1:12" ht="12.75">
      <c r="A386" s="27" t="s">
        <v>125</v>
      </c>
      <c r="B386" s="28"/>
      <c r="C386" s="28"/>
      <c r="D386" s="29"/>
      <c r="E386" s="30">
        <v>0.02</v>
      </c>
      <c r="F386" s="31">
        <v>20</v>
      </c>
      <c r="G386" s="214">
        <v>63</v>
      </c>
      <c r="H386" s="215">
        <f>G386*E386</f>
        <v>1.26</v>
      </c>
      <c r="I386" s="85">
        <f>(11*F386)/100</f>
        <v>2.2</v>
      </c>
      <c r="J386" s="85">
        <f>(1.3*F386)/100</f>
        <v>0.26</v>
      </c>
      <c r="K386" s="85">
        <f>(69.6*F386)/100</f>
        <v>13.92</v>
      </c>
      <c r="L386" s="86">
        <f>(338*F386)/100</f>
        <v>67.6</v>
      </c>
    </row>
    <row r="387" spans="1:12" ht="12.75">
      <c r="A387" s="37" t="s">
        <v>16</v>
      </c>
      <c r="B387" s="38"/>
      <c r="C387" s="39"/>
      <c r="D387" s="40"/>
      <c r="E387" s="41">
        <v>0.005</v>
      </c>
      <c r="F387" s="42">
        <v>5</v>
      </c>
      <c r="G387" s="43">
        <v>300</v>
      </c>
      <c r="H387" s="44">
        <f>E387*G387</f>
        <v>1.5</v>
      </c>
      <c r="I387" s="45">
        <f>(F387*1)/100</f>
        <v>0.05</v>
      </c>
      <c r="J387" s="45">
        <f>(F387*72.5)/100</f>
        <v>3.625</v>
      </c>
      <c r="K387" s="45">
        <f>(F387*1.4)/100</f>
        <v>0.07</v>
      </c>
      <c r="L387" s="46">
        <f>(F387*662)/100</f>
        <v>33.1</v>
      </c>
    </row>
    <row r="388" spans="1:12" ht="12.75">
      <c r="A388" s="47" t="s">
        <v>17</v>
      </c>
      <c r="B388" s="48"/>
      <c r="C388" s="49"/>
      <c r="D388" s="50"/>
      <c r="E388" s="51">
        <v>0.004</v>
      </c>
      <c r="F388" s="52">
        <v>4</v>
      </c>
      <c r="G388" s="53">
        <v>90</v>
      </c>
      <c r="H388" s="53">
        <f>E388*G388</f>
        <v>0.36</v>
      </c>
      <c r="I388" s="54"/>
      <c r="J388" s="54"/>
      <c r="K388" s="54">
        <f>(F388*99.8)/100</f>
        <v>3.992</v>
      </c>
      <c r="L388" s="55">
        <f>(F388*399)/100</f>
        <v>15.96</v>
      </c>
    </row>
    <row r="389" spans="1:12" ht="12.75">
      <c r="A389" s="56" t="s">
        <v>18</v>
      </c>
      <c r="B389" s="57"/>
      <c r="C389" s="57"/>
      <c r="D389" s="58"/>
      <c r="E389" s="59">
        <v>0.15</v>
      </c>
      <c r="F389" s="60">
        <v>150</v>
      </c>
      <c r="G389" s="61">
        <v>72</v>
      </c>
      <c r="H389" s="62">
        <f>E389*G389</f>
        <v>10.799999999999999</v>
      </c>
      <c r="I389" s="63">
        <f>(2.9*F389)/100</f>
        <v>4.35</v>
      </c>
      <c r="J389" s="63">
        <f>(F389*2.5)/100</f>
        <v>3.75</v>
      </c>
      <c r="K389" s="63">
        <f>(4.8*F389)/100</f>
        <v>7.2</v>
      </c>
      <c r="L389" s="64">
        <f>(F389*60)/100</f>
        <v>90</v>
      </c>
    </row>
    <row r="390" spans="1:12" ht="12.75">
      <c r="A390" s="1773" t="s">
        <v>126</v>
      </c>
      <c r="B390" s="1773"/>
      <c r="C390" s="1773"/>
      <c r="D390" s="65">
        <v>200</v>
      </c>
      <c r="E390" s="178"/>
      <c r="F390" s="178"/>
      <c r="G390" s="180"/>
      <c r="H390" s="348">
        <f>H391+H392+H393</f>
        <v>16.740000000000002</v>
      </c>
      <c r="I390" s="445">
        <f>SUM(I391:I393)</f>
        <v>5.8</v>
      </c>
      <c r="J390" s="181">
        <f>SUM(J391:J393)</f>
        <v>5</v>
      </c>
      <c r="K390" s="445">
        <f>SUM(K391:K393)</f>
        <v>21.576</v>
      </c>
      <c r="L390" s="349">
        <f>SUM(L391:L393)</f>
        <v>167.88</v>
      </c>
    </row>
    <row r="391" spans="1:12" ht="12.75">
      <c r="A391" s="27" t="s">
        <v>127</v>
      </c>
      <c r="B391" s="286"/>
      <c r="C391" s="28"/>
      <c r="D391" s="71"/>
      <c r="E391" s="30">
        <v>0.002</v>
      </c>
      <c r="F391" s="31">
        <v>2</v>
      </c>
      <c r="G391" s="446">
        <v>630</v>
      </c>
      <c r="H391" s="447">
        <f>E391*G391</f>
        <v>1.26</v>
      </c>
      <c r="I391" s="31"/>
      <c r="J391" s="63"/>
      <c r="K391" s="31"/>
      <c r="L391" s="64"/>
    </row>
    <row r="392" spans="1:12" ht="12.75">
      <c r="A392" s="217" t="s">
        <v>17</v>
      </c>
      <c r="B392" s="218"/>
      <c r="C392" s="398"/>
      <c r="D392" s="71"/>
      <c r="E392" s="448">
        <v>0.012</v>
      </c>
      <c r="F392" s="449">
        <v>12</v>
      </c>
      <c r="G392" s="447">
        <v>90</v>
      </c>
      <c r="H392" s="447">
        <f>E392*G392</f>
        <v>1.08</v>
      </c>
      <c r="I392" s="80"/>
      <c r="J392" s="80"/>
      <c r="K392" s="80">
        <f>(F392*99.8)/100</f>
        <v>11.975999999999999</v>
      </c>
      <c r="L392" s="81">
        <f>(F392*399)/100</f>
        <v>47.88</v>
      </c>
    </row>
    <row r="393" spans="1:12" ht="12.75">
      <c r="A393" s="37" t="s">
        <v>18</v>
      </c>
      <c r="B393" s="38"/>
      <c r="C393" s="39"/>
      <c r="D393" s="71"/>
      <c r="E393" s="41">
        <v>0.2</v>
      </c>
      <c r="F393" s="42">
        <v>200</v>
      </c>
      <c r="G393" s="43">
        <v>72</v>
      </c>
      <c r="H393" s="447">
        <f>E393*G393</f>
        <v>14.4</v>
      </c>
      <c r="I393" s="63">
        <f>(2.9*F393)/100</f>
        <v>5.8</v>
      </c>
      <c r="J393" s="63">
        <f>(F393*2.5)/100</f>
        <v>5</v>
      </c>
      <c r="K393" s="63">
        <f>(4.8*F393)/100</f>
        <v>9.6</v>
      </c>
      <c r="L393" s="64">
        <f>(F393*60)/100</f>
        <v>120</v>
      </c>
    </row>
    <row r="394" spans="1:12" ht="12.75">
      <c r="A394" s="1774" t="s">
        <v>21</v>
      </c>
      <c r="B394" s="1774"/>
      <c r="C394" s="1774"/>
      <c r="D394" s="88" t="s">
        <v>22</v>
      </c>
      <c r="E394" s="89">
        <v>0.02</v>
      </c>
      <c r="F394" s="90">
        <v>20</v>
      </c>
      <c r="G394" s="91">
        <v>91</v>
      </c>
      <c r="H394" s="92">
        <f>E394*G394</f>
        <v>1.82</v>
      </c>
      <c r="I394" s="93">
        <f>(7.5*F394)/100</f>
        <v>1.5</v>
      </c>
      <c r="J394" s="93">
        <f>(9.8*F394)/100</f>
        <v>1.96</v>
      </c>
      <c r="K394" s="93">
        <f>(74.4*F394)/100</f>
        <v>14.88</v>
      </c>
      <c r="L394" s="94">
        <f>(417*F394)/100</f>
        <v>83.4</v>
      </c>
    </row>
    <row r="395" spans="1:12" ht="12.75">
      <c r="A395" s="187"/>
      <c r="B395" s="887"/>
      <c r="C395" s="188"/>
      <c r="D395" s="888"/>
      <c r="E395" s="752"/>
      <c r="F395" s="753"/>
      <c r="G395" s="192"/>
      <c r="H395" s="192"/>
      <c r="I395" s="521"/>
      <c r="J395" s="521"/>
      <c r="K395" s="521"/>
      <c r="L395" s="889"/>
    </row>
    <row r="396" spans="1:12" ht="12.75">
      <c r="A396" s="457"/>
      <c r="B396" s="458"/>
      <c r="C396" s="458"/>
      <c r="D396" s="459"/>
      <c r="E396" s="460"/>
      <c r="F396" s="461"/>
      <c r="G396" s="461"/>
      <c r="H396" s="461"/>
      <c r="I396" s="818"/>
      <c r="J396" s="818"/>
      <c r="K396" s="818"/>
      <c r="L396" s="819"/>
    </row>
    <row r="397" spans="1:12" ht="12.75">
      <c r="A397" s="437"/>
      <c r="B397" s="438"/>
      <c r="C397" s="439"/>
      <c r="D397" s="440"/>
      <c r="E397" s="441"/>
      <c r="F397" s="442"/>
      <c r="G397" s="443"/>
      <c r="H397" s="641"/>
      <c r="I397" s="890"/>
      <c r="J397" s="890"/>
      <c r="K397" s="890"/>
      <c r="L397" s="891"/>
    </row>
    <row r="398" spans="1:12" ht="12.75">
      <c r="A398" s="892"/>
      <c r="B398" s="893"/>
      <c r="C398" s="893"/>
      <c r="D398" s="894"/>
      <c r="E398" s="893"/>
      <c r="F398" s="893"/>
      <c r="G398" s="893"/>
      <c r="H398" s="893"/>
      <c r="I398" s="893"/>
      <c r="J398" s="893"/>
      <c r="K398" s="893"/>
      <c r="L398" s="895"/>
    </row>
    <row r="399" spans="1:12" ht="12.75">
      <c r="A399" s="56"/>
      <c r="B399" s="57"/>
      <c r="C399" s="57"/>
      <c r="D399" s="208"/>
      <c r="E399" s="208"/>
      <c r="F399" s="208"/>
      <c r="G399" s="209"/>
      <c r="H399" s="209"/>
      <c r="I399" s="223"/>
      <c r="J399" s="223"/>
      <c r="K399" s="223"/>
      <c r="L399" s="732"/>
    </row>
    <row r="400" spans="1:12" ht="15.75">
      <c r="A400" s="656" t="s">
        <v>23</v>
      </c>
      <c r="B400" s="657"/>
      <c r="C400" s="657"/>
      <c r="D400" s="658"/>
      <c r="E400" s="659"/>
      <c r="F400" s="658"/>
      <c r="G400" s="660"/>
      <c r="H400" s="660">
        <f>H394+H390+H385</f>
        <v>32.480000000000004</v>
      </c>
      <c r="I400" s="661"/>
      <c r="J400" s="661"/>
      <c r="K400" s="662"/>
      <c r="L400" s="663"/>
    </row>
    <row r="401" spans="1:12" ht="12.75">
      <c r="A401" s="664"/>
      <c r="B401" s="665" t="s">
        <v>24</v>
      </c>
      <c r="C401" s="666"/>
      <c r="D401" s="667"/>
      <c r="E401" s="668"/>
      <c r="F401" s="667"/>
      <c r="G401" s="669"/>
      <c r="H401" s="669"/>
      <c r="I401" s="684">
        <f>I394+I390+I385</f>
        <v>13.899999999999999</v>
      </c>
      <c r="J401" s="684">
        <f>J394+J390+J385</f>
        <v>14.594999999999999</v>
      </c>
      <c r="K401" s="896">
        <f>K394+K390+K385</f>
        <v>61.638000000000005</v>
      </c>
      <c r="L401" s="670">
        <f>L394+L390+L385</f>
        <v>457.94</v>
      </c>
    </row>
    <row r="402" spans="1:12" ht="12.75">
      <c r="A402" s="206"/>
      <c r="B402" s="206"/>
      <c r="C402" s="206"/>
      <c r="D402" s="207"/>
      <c r="E402" s="671"/>
      <c r="F402" s="207"/>
      <c r="G402" s="210"/>
      <c r="H402" s="210"/>
      <c r="I402" s="211"/>
      <c r="J402" s="211"/>
      <c r="K402" s="672"/>
      <c r="L402" s="672">
        <f>L401/1800</f>
        <v>0.2544111111111111</v>
      </c>
    </row>
    <row r="403" spans="1:12" ht="12.75">
      <c r="A403" s="1790" t="s">
        <v>66</v>
      </c>
      <c r="B403" s="1790"/>
      <c r="C403" s="1790"/>
      <c r="D403" s="208"/>
      <c r="E403" s="208"/>
      <c r="F403" s="208"/>
      <c r="G403" s="209"/>
      <c r="H403" s="209"/>
      <c r="I403" s="211"/>
      <c r="J403" s="223"/>
      <c r="K403" s="673"/>
      <c r="L403" s="223"/>
    </row>
    <row r="404" spans="1:12" ht="14.25" customHeight="1">
      <c r="A404" s="1774" t="s">
        <v>26</v>
      </c>
      <c r="B404" s="1774"/>
      <c r="C404" s="1774"/>
      <c r="D404" s="135">
        <v>100</v>
      </c>
      <c r="E404" s="136"/>
      <c r="F404" s="136"/>
      <c r="G404" s="137"/>
      <c r="H404" s="138">
        <f>H405</f>
        <v>7</v>
      </c>
      <c r="I404" s="139"/>
      <c r="J404" s="139"/>
      <c r="K404" s="139"/>
      <c r="L404" s="140"/>
    </row>
    <row r="405" spans="1:12" ht="14.25" customHeight="1">
      <c r="A405" s="1778" t="s">
        <v>26</v>
      </c>
      <c r="B405" s="1778"/>
      <c r="C405" s="1778"/>
      <c r="D405" s="141"/>
      <c r="E405" s="142">
        <v>0.1</v>
      </c>
      <c r="F405" s="143">
        <v>100</v>
      </c>
      <c r="G405" s="144">
        <v>70</v>
      </c>
      <c r="H405" s="145">
        <f>E405*G405</f>
        <v>7</v>
      </c>
      <c r="I405" s="143"/>
      <c r="J405" s="143"/>
      <c r="K405" s="143">
        <f>(10.1*F405)/100</f>
        <v>10.1</v>
      </c>
      <c r="L405" s="146">
        <f>(F405*46)/100</f>
        <v>46</v>
      </c>
    </row>
    <row r="406" spans="1:12" ht="12.75">
      <c r="A406" s="593"/>
      <c r="B406" s="337"/>
      <c r="C406" s="96"/>
      <c r="D406" s="50"/>
      <c r="E406" s="95"/>
      <c r="F406" s="96"/>
      <c r="G406" s="97"/>
      <c r="H406" s="97"/>
      <c r="I406" s="204"/>
      <c r="J406" s="204"/>
      <c r="K406" s="204"/>
      <c r="L406" s="205"/>
    </row>
    <row r="407" spans="1:12" ht="12.75">
      <c r="A407" s="457"/>
      <c r="B407" s="458"/>
      <c r="C407" s="474"/>
      <c r="D407" s="475"/>
      <c r="E407" s="476"/>
      <c r="F407" s="477"/>
      <c r="G407" s="478"/>
      <c r="H407" s="478"/>
      <c r="I407" s="479"/>
      <c r="J407" s="479"/>
      <c r="K407" s="479"/>
      <c r="L407" s="480"/>
    </row>
    <row r="408" spans="1:12" ht="15.75">
      <c r="A408" s="674" t="s">
        <v>27</v>
      </c>
      <c r="B408" s="675"/>
      <c r="C408" s="676"/>
      <c r="D408" s="677"/>
      <c r="E408" s="677"/>
      <c r="F408" s="677"/>
      <c r="G408" s="678"/>
      <c r="H408" s="679">
        <f>H404</f>
        <v>7</v>
      </c>
      <c r="I408" s="680"/>
      <c r="J408" s="680"/>
      <c r="K408" s="680"/>
      <c r="L408" s="897">
        <f>L405/1800</f>
        <v>0.025555555555555557</v>
      </c>
    </row>
    <row r="409" spans="1:12" ht="15.75">
      <c r="A409" s="898" t="s">
        <v>24</v>
      </c>
      <c r="B409" s="899"/>
      <c r="C409" s="900"/>
      <c r="D409" s="901"/>
      <c r="E409" s="901"/>
      <c r="F409" s="901"/>
      <c r="G409" s="902"/>
      <c r="H409" s="902"/>
      <c r="I409" s="903">
        <f>I404</f>
        <v>0</v>
      </c>
      <c r="J409" s="903">
        <f>J404</f>
        <v>0</v>
      </c>
      <c r="K409" s="903">
        <f>K404</f>
        <v>0</v>
      </c>
      <c r="L409" s="903">
        <f>L404</f>
        <v>0</v>
      </c>
    </row>
    <row r="410" spans="1:12" ht="12.75">
      <c r="A410" s="196"/>
      <c r="B410" s="197"/>
      <c r="C410" s="334"/>
      <c r="D410" s="335"/>
      <c r="E410" s="336"/>
      <c r="F410" s="143"/>
      <c r="G410" s="144"/>
      <c r="H410" s="145"/>
      <c r="I410" s="111"/>
      <c r="J410" s="111"/>
      <c r="K410" s="111"/>
      <c r="L410" s="263"/>
    </row>
    <row r="411" spans="1:14" ht="30.75" customHeight="1">
      <c r="A411" s="1791" t="s">
        <v>128</v>
      </c>
      <c r="B411" s="1791"/>
      <c r="C411" s="1791"/>
      <c r="D411" s="829">
        <v>250</v>
      </c>
      <c r="E411" s="693"/>
      <c r="F411" s="104"/>
      <c r="G411" s="105"/>
      <c r="H411" s="106">
        <f>H413+H414+H415+H416+H412</f>
        <v>15.18</v>
      </c>
      <c r="I411" s="107">
        <f>SUM(I412:I416)</f>
        <v>1.8719999999999999</v>
      </c>
      <c r="J411" s="107">
        <f>SUM(J412:J416)</f>
        <v>6.241</v>
      </c>
      <c r="K411" s="107">
        <f>SUM(K412:K416)</f>
        <v>11.208</v>
      </c>
      <c r="L411" s="108">
        <f>SUM(L412:L416)</f>
        <v>119.84</v>
      </c>
      <c r="N411" s="221"/>
    </row>
    <row r="412" spans="1:14" ht="12.75">
      <c r="A412" s="340" t="s">
        <v>75</v>
      </c>
      <c r="B412" s="493"/>
      <c r="C412" s="493"/>
      <c r="D412" s="515"/>
      <c r="E412" s="190">
        <v>0.032</v>
      </c>
      <c r="F412" s="191">
        <v>24</v>
      </c>
      <c r="G412" s="192">
        <v>240</v>
      </c>
      <c r="H412" s="193">
        <f>G412*E412</f>
        <v>7.68</v>
      </c>
      <c r="I412" s="495"/>
      <c r="J412" s="495">
        <f>(F412*16)/100</f>
        <v>3.84</v>
      </c>
      <c r="K412" s="495"/>
      <c r="L412" s="496">
        <f>(F412*190)/100</f>
        <v>45.6</v>
      </c>
      <c r="N412" s="57"/>
    </row>
    <row r="413" spans="1:14" ht="12.75">
      <c r="A413" s="248" t="s">
        <v>16</v>
      </c>
      <c r="B413" s="250"/>
      <c r="C413" s="250"/>
      <c r="D413" s="708"/>
      <c r="E413" s="904">
        <v>0.003</v>
      </c>
      <c r="F413" s="905">
        <v>3</v>
      </c>
      <c r="G413" s="273">
        <v>300</v>
      </c>
      <c r="H413" s="255">
        <f>E413*G413</f>
        <v>0.9</v>
      </c>
      <c r="I413" s="45">
        <f>(F413*1)/100</f>
        <v>0.03</v>
      </c>
      <c r="J413" s="45">
        <f>(F413*72.5)/100</f>
        <v>2.175</v>
      </c>
      <c r="K413" s="45">
        <f>(F413*1.4)/100</f>
        <v>0.041999999999999996</v>
      </c>
      <c r="L413" s="46">
        <f>(F413*662)/100</f>
        <v>19.86</v>
      </c>
      <c r="N413" s="206"/>
    </row>
    <row r="414" spans="1:14" ht="12.75">
      <c r="A414" s="340" t="s">
        <v>46</v>
      </c>
      <c r="B414" s="341"/>
      <c r="C414" s="341"/>
      <c r="D414" s="725"/>
      <c r="E414" s="562">
        <v>0.022</v>
      </c>
      <c r="F414" s="564">
        <v>20</v>
      </c>
      <c r="G414" s="726">
        <v>230</v>
      </c>
      <c r="H414" s="535">
        <f>E414*G414</f>
        <v>5.06</v>
      </c>
      <c r="I414" s="455">
        <f>(F414*8)/100</f>
        <v>1.6</v>
      </c>
      <c r="J414" s="455">
        <f>(F414*1)/100</f>
        <v>0.2</v>
      </c>
      <c r="K414" s="455">
        <f>(F414*49.1)/100</f>
        <v>9.82</v>
      </c>
      <c r="L414" s="456">
        <f>(F414*238)/100</f>
        <v>47.6</v>
      </c>
      <c r="N414" s="206"/>
    </row>
    <row r="415" spans="1:14" ht="12.75">
      <c r="A415" s="248" t="s">
        <v>33</v>
      </c>
      <c r="B415" s="250"/>
      <c r="C415" s="250"/>
      <c r="D415" s="708"/>
      <c r="E415" s="904">
        <v>0.01</v>
      </c>
      <c r="F415" s="905">
        <v>8</v>
      </c>
      <c r="G415" s="273">
        <v>63</v>
      </c>
      <c r="H415" s="255">
        <f>E415*G415</f>
        <v>0.63</v>
      </c>
      <c r="I415" s="204">
        <f>(F415*1.4)/100</f>
        <v>0.11199999999999999</v>
      </c>
      <c r="J415" s="204">
        <f>(F415*0.2)/100</f>
        <v>0.016</v>
      </c>
      <c r="K415" s="204">
        <f>(F415*8.2)/100</f>
        <v>0.6559999999999999</v>
      </c>
      <c r="L415" s="205">
        <f>(F415*41)/100</f>
        <v>3.28</v>
      </c>
      <c r="N415" s="206"/>
    </row>
    <row r="416" spans="1:14" ht="12.75">
      <c r="A416" s="318" t="s">
        <v>34</v>
      </c>
      <c r="B416" s="319"/>
      <c r="C416" s="319"/>
      <c r="D416" s="906"/>
      <c r="E416" s="904">
        <v>0.013000000000000001</v>
      </c>
      <c r="F416" s="905">
        <v>10</v>
      </c>
      <c r="G416" s="273">
        <v>70</v>
      </c>
      <c r="H416" s="255">
        <f>E416*G416</f>
        <v>0.91</v>
      </c>
      <c r="I416" s="204">
        <f>(F416*1.3)/100</f>
        <v>0.13</v>
      </c>
      <c r="J416" s="204">
        <f>(F416*0.1)/100</f>
        <v>0.01</v>
      </c>
      <c r="K416" s="204">
        <f>(F416*6.9)/100</f>
        <v>0.69</v>
      </c>
      <c r="L416" s="274">
        <f>(F416*35)/100</f>
        <v>3.5</v>
      </c>
      <c r="N416" s="206"/>
    </row>
    <row r="417" spans="1:14" ht="12.75">
      <c r="A417" s="1780" t="s">
        <v>129</v>
      </c>
      <c r="B417" s="1780"/>
      <c r="C417" s="1780"/>
      <c r="D417" s="281">
        <v>80</v>
      </c>
      <c r="E417" s="282"/>
      <c r="F417" s="282"/>
      <c r="G417" s="283"/>
      <c r="H417" s="284">
        <f>SUM(H418:H424)</f>
        <v>32.528</v>
      </c>
      <c r="I417" s="285">
        <f>SUM(I418:I424)</f>
        <v>14.815</v>
      </c>
      <c r="J417" s="285">
        <f>SUM(J418:J424)</f>
        <v>5.816</v>
      </c>
      <c r="K417" s="285">
        <f>SUM(K418:K424)</f>
        <v>9.082</v>
      </c>
      <c r="L417" s="285">
        <f>SUM(L418:L424)</f>
        <v>149.2</v>
      </c>
      <c r="N417" s="221"/>
    </row>
    <row r="418" spans="1:14" ht="12.75">
      <c r="A418" s="538" t="s">
        <v>107</v>
      </c>
      <c r="B418" s="907"/>
      <c r="C418" s="908"/>
      <c r="D418" s="251"/>
      <c r="E418" s="261">
        <v>0.09</v>
      </c>
      <c r="F418" s="262">
        <v>70</v>
      </c>
      <c r="G418" s="112">
        <v>300</v>
      </c>
      <c r="H418" s="112">
        <f>E418*G418</f>
        <v>27</v>
      </c>
      <c r="I418" s="111">
        <f>(F418*17.2)/100</f>
        <v>12.04</v>
      </c>
      <c r="J418" s="111">
        <f>(0.5*F418)/100</f>
        <v>0.35</v>
      </c>
      <c r="K418" s="111"/>
      <c r="L418" s="909">
        <f>(73*F418)/100</f>
        <v>51.1</v>
      </c>
      <c r="N418" s="221"/>
    </row>
    <row r="419" spans="1:14" ht="12.75">
      <c r="A419" s="340" t="s">
        <v>33</v>
      </c>
      <c r="B419" s="341"/>
      <c r="C419" s="341"/>
      <c r="D419" s="725"/>
      <c r="E419" s="562">
        <v>0.015</v>
      </c>
      <c r="F419" s="564">
        <v>13</v>
      </c>
      <c r="G419" s="726">
        <v>63</v>
      </c>
      <c r="H419" s="535">
        <f>G419*E419</f>
        <v>0.945</v>
      </c>
      <c r="I419" s="834">
        <f>(F419*1.4)/100</f>
        <v>0.182</v>
      </c>
      <c r="J419" s="834">
        <f>(F419*0.2)/100</f>
        <v>0.026000000000000002</v>
      </c>
      <c r="K419" s="834">
        <f>(F419*8.2)/100</f>
        <v>1.0659999999999998</v>
      </c>
      <c r="L419" s="220">
        <f>(F419*41)/100</f>
        <v>5.33</v>
      </c>
      <c r="N419" s="221"/>
    </row>
    <row r="420" spans="1:14" ht="12.75">
      <c r="A420" s="340" t="s">
        <v>42</v>
      </c>
      <c r="B420" s="341"/>
      <c r="C420" s="341"/>
      <c r="D420" s="725"/>
      <c r="E420" s="562">
        <v>0.01</v>
      </c>
      <c r="F420" s="564">
        <v>10</v>
      </c>
      <c r="G420" s="726">
        <v>64</v>
      </c>
      <c r="H420" s="535">
        <f>E420*G420</f>
        <v>0.64</v>
      </c>
      <c r="I420" s="455">
        <f>(F420*8)/100</f>
        <v>0.8</v>
      </c>
      <c r="J420" s="455">
        <f>(F420*1)/100</f>
        <v>0.1</v>
      </c>
      <c r="K420" s="455">
        <f>(F420*49.1)/100</f>
        <v>4.91</v>
      </c>
      <c r="L420" s="456">
        <f>(F420*238)/100</f>
        <v>23.8</v>
      </c>
      <c r="N420" s="221"/>
    </row>
    <row r="421" spans="1:14" ht="12.75">
      <c r="A421" s="340" t="s">
        <v>37</v>
      </c>
      <c r="B421" s="341"/>
      <c r="C421" s="341"/>
      <c r="D421" s="725"/>
      <c r="E421" s="562">
        <v>0.004</v>
      </c>
      <c r="F421" s="564">
        <v>4</v>
      </c>
      <c r="G421" s="726">
        <v>129</v>
      </c>
      <c r="H421" s="535">
        <f>E421*G421</f>
        <v>0.516</v>
      </c>
      <c r="I421" s="455"/>
      <c r="J421" s="455">
        <f>(F421*99.9)/100</f>
        <v>3.9960000000000004</v>
      </c>
      <c r="K421" s="455"/>
      <c r="L421" s="910">
        <f>(F421*899)/100</f>
        <v>35.96</v>
      </c>
      <c r="N421" s="206"/>
    </row>
    <row r="422" spans="1:14" ht="12.75">
      <c r="A422" s="340" t="s">
        <v>76</v>
      </c>
      <c r="B422" s="341"/>
      <c r="C422" s="341"/>
      <c r="D422" s="725"/>
      <c r="E422" s="562">
        <v>0.003</v>
      </c>
      <c r="F422" s="564">
        <v>3</v>
      </c>
      <c r="G422" s="726">
        <v>49</v>
      </c>
      <c r="H422" s="911">
        <f>E422*G422</f>
        <v>0.147</v>
      </c>
      <c r="I422" s="560">
        <f>(F422*10.8)/100</f>
        <v>0.32400000000000007</v>
      </c>
      <c r="J422" s="560">
        <f>(F422*1.3)/100</f>
        <v>0.03900000000000001</v>
      </c>
      <c r="K422" s="560">
        <f>(F422*69.9)/100</f>
        <v>2.097</v>
      </c>
      <c r="L422" s="912">
        <f>(F422*334)/100</f>
        <v>10.02</v>
      </c>
      <c r="N422" s="206"/>
    </row>
    <row r="423" spans="1:14" ht="12.75">
      <c r="A423" s="508" t="s">
        <v>18</v>
      </c>
      <c r="B423" s="913"/>
      <c r="C423" s="70"/>
      <c r="D423" s="914"/>
      <c r="E423" s="915">
        <v>0.02</v>
      </c>
      <c r="F423" s="455">
        <v>20</v>
      </c>
      <c r="G423" s="290">
        <v>72</v>
      </c>
      <c r="H423" s="911">
        <f>E423*G423</f>
        <v>1.44</v>
      </c>
      <c r="I423" s="916">
        <f>(2.9*F423)/100</f>
        <v>0.58</v>
      </c>
      <c r="J423" s="916">
        <f>(F423*2.5)/100</f>
        <v>0.5</v>
      </c>
      <c r="K423" s="916">
        <f>(4.8*F423)/100</f>
        <v>0.96</v>
      </c>
      <c r="L423" s="917">
        <f>(F423*60)/100</f>
        <v>12</v>
      </c>
      <c r="N423" s="206"/>
    </row>
    <row r="424" spans="1:14" ht="12.75">
      <c r="A424" s="340" t="s">
        <v>46</v>
      </c>
      <c r="B424" s="341"/>
      <c r="C424" s="341"/>
      <c r="D424" s="725"/>
      <c r="E424" s="562">
        <v>0.008</v>
      </c>
      <c r="F424" s="564">
        <v>7</v>
      </c>
      <c r="G424" s="726">
        <v>230</v>
      </c>
      <c r="H424" s="911">
        <f>E424*G424</f>
        <v>1.84</v>
      </c>
      <c r="I424" s="455">
        <f>(12.7*F424)/100</f>
        <v>0.8889999999999999</v>
      </c>
      <c r="J424" s="455">
        <f>(F424*11.5)/100</f>
        <v>0.805</v>
      </c>
      <c r="K424" s="455">
        <f>(F424*0.7)/100</f>
        <v>0.049</v>
      </c>
      <c r="L424" s="456">
        <f>(157*F424)/100</f>
        <v>10.99</v>
      </c>
      <c r="N424" s="221"/>
    </row>
    <row r="425" spans="1:14" ht="12.75">
      <c r="A425" s="309" t="s">
        <v>109</v>
      </c>
      <c r="B425" s="310"/>
      <c r="C425" s="310"/>
      <c r="D425" s="311">
        <v>130</v>
      </c>
      <c r="E425" s="312"/>
      <c r="F425" s="282"/>
      <c r="G425" s="283"/>
      <c r="H425" s="284">
        <f>SUM(H426:H428)</f>
        <v>14.9</v>
      </c>
      <c r="I425" s="285">
        <f>I426+I427+I428</f>
        <v>3.7</v>
      </c>
      <c r="J425" s="285">
        <f>J426+J427+J428</f>
        <v>5.3149999999999995</v>
      </c>
      <c r="K425" s="285">
        <f>K426+K427+K428</f>
        <v>20.4</v>
      </c>
      <c r="L425" s="285">
        <f>L426+L427+L428</f>
        <v>147.8</v>
      </c>
      <c r="N425" s="221"/>
    </row>
    <row r="426" spans="1:14" ht="12.75">
      <c r="A426" s="429" t="s">
        <v>32</v>
      </c>
      <c r="B426" s="430"/>
      <c r="C426" s="430"/>
      <c r="D426" s="751"/>
      <c r="E426" s="752">
        <v>0.17500000000000002</v>
      </c>
      <c r="F426" s="753">
        <v>110</v>
      </c>
      <c r="G426" s="192">
        <v>56</v>
      </c>
      <c r="H426" s="192">
        <f>E426*G426</f>
        <v>9.8</v>
      </c>
      <c r="I426" s="213">
        <f>(F426*2)/100</f>
        <v>2.2</v>
      </c>
      <c r="J426" s="213">
        <f>(F426*0.4)/100</f>
        <v>0.44</v>
      </c>
      <c r="K426" s="213">
        <f>(F426*16.3)/100</f>
        <v>17.93</v>
      </c>
      <c r="L426" s="216">
        <f>(F426*77)/100</f>
        <v>84.7</v>
      </c>
      <c r="N426" s="221"/>
    </row>
    <row r="427" spans="1:25" ht="12.75">
      <c r="A427" s="429" t="s">
        <v>18</v>
      </c>
      <c r="B427" s="430"/>
      <c r="C427" s="430"/>
      <c r="D427" s="751"/>
      <c r="E427" s="754">
        <v>0.05</v>
      </c>
      <c r="F427" s="755">
        <v>50</v>
      </c>
      <c r="G427" s="756">
        <v>72</v>
      </c>
      <c r="H427" s="756">
        <f>G427*E427</f>
        <v>3.6</v>
      </c>
      <c r="I427" s="63">
        <f>(2.9*F427)/100</f>
        <v>1.45</v>
      </c>
      <c r="J427" s="63">
        <f>(F427*2.5)/100</f>
        <v>1.25</v>
      </c>
      <c r="K427" s="63">
        <f>(4.8*F427)/100</f>
        <v>2.4</v>
      </c>
      <c r="L427" s="64">
        <f>(F427*60)/100</f>
        <v>30</v>
      </c>
      <c r="N427" s="206"/>
      <c r="O427" s="206"/>
      <c r="P427" s="206"/>
      <c r="Q427" s="207"/>
      <c r="R427" s="57"/>
      <c r="S427" s="57"/>
      <c r="T427" s="209"/>
      <c r="U427" s="210"/>
      <c r="V427" s="211"/>
      <c r="W427" s="211"/>
      <c r="X427" s="211"/>
      <c r="Y427" s="211"/>
    </row>
    <row r="428" spans="1:25" ht="12.75">
      <c r="A428" s="429" t="s">
        <v>16</v>
      </c>
      <c r="B428" s="430"/>
      <c r="C428" s="430"/>
      <c r="D428" s="751"/>
      <c r="E428" s="544">
        <v>0.005</v>
      </c>
      <c r="F428" s="545">
        <v>5</v>
      </c>
      <c r="G428" s="546">
        <v>300</v>
      </c>
      <c r="H428" s="756">
        <f>G428*E428</f>
        <v>1.5</v>
      </c>
      <c r="I428" s="45">
        <f>(F428*1)/100</f>
        <v>0.05</v>
      </c>
      <c r="J428" s="45">
        <f>(F428*72.5)/100</f>
        <v>3.625</v>
      </c>
      <c r="K428" s="45">
        <f>(F428*1.4)/100</f>
        <v>0.07</v>
      </c>
      <c r="L428" s="46">
        <f>(F428*662)/100</f>
        <v>33.1</v>
      </c>
      <c r="N428" s="221"/>
      <c r="O428" s="221"/>
      <c r="P428" s="221"/>
      <c r="Q428" s="247"/>
      <c r="R428" s="270"/>
      <c r="S428" s="28"/>
      <c r="T428" s="150"/>
      <c r="U428" s="151"/>
      <c r="V428" s="279"/>
      <c r="W428" s="279"/>
      <c r="X428" s="279"/>
      <c r="Y428" s="279"/>
    </row>
    <row r="429" spans="1:25" ht="12.75">
      <c r="A429" s="918"/>
      <c r="B429" s="919"/>
      <c r="C429" s="919"/>
      <c r="D429" s="920"/>
      <c r="E429" s="921"/>
      <c r="F429" s="922"/>
      <c r="G429" s="923"/>
      <c r="H429" s="924"/>
      <c r="I429" s="925"/>
      <c r="J429" s="925"/>
      <c r="K429" s="925"/>
      <c r="L429" s="926"/>
      <c r="N429" s="286"/>
      <c r="O429" s="221"/>
      <c r="P429" s="221"/>
      <c r="Q429" s="247"/>
      <c r="R429" s="270"/>
      <c r="S429" s="28"/>
      <c r="T429" s="150"/>
      <c r="U429" s="151"/>
      <c r="V429" s="233"/>
      <c r="W429" s="233"/>
      <c r="X429" s="233"/>
      <c r="Y429" s="233"/>
    </row>
    <row r="430" spans="1:14" ht="12.75">
      <c r="A430" s="1776" t="s">
        <v>130</v>
      </c>
      <c r="B430" s="1776"/>
      <c r="C430" s="1776"/>
      <c r="D430" s="103">
        <v>200</v>
      </c>
      <c r="E430" s="331"/>
      <c r="F430" s="331"/>
      <c r="G430" s="105"/>
      <c r="H430" s="106">
        <f>H431+H432</f>
        <v>5.85</v>
      </c>
      <c r="I430" s="108">
        <f>I431+I432</f>
        <v>0.075</v>
      </c>
      <c r="J430" s="108">
        <f>J431+J432</f>
        <v>0.03</v>
      </c>
      <c r="K430" s="108">
        <f>K431+K432</f>
        <v>15.525</v>
      </c>
      <c r="L430" s="108">
        <f>L431+L432</f>
        <v>64.05</v>
      </c>
      <c r="N430" s="221"/>
    </row>
    <row r="431" spans="1:14" ht="12.75">
      <c r="A431" s="538" t="s">
        <v>131</v>
      </c>
      <c r="B431" s="539"/>
      <c r="C431" s="540"/>
      <c r="D431" s="541"/>
      <c r="E431" s="261">
        <v>0.015</v>
      </c>
      <c r="F431" s="262">
        <v>15</v>
      </c>
      <c r="G431" s="112">
        <v>300</v>
      </c>
      <c r="H431" s="113">
        <f>E431*G431</f>
        <v>4.5</v>
      </c>
      <c r="I431" s="111">
        <f>(F431*0.5)/100</f>
        <v>0.075</v>
      </c>
      <c r="J431" s="111">
        <f>(0.2*F431)/100</f>
        <v>0.03</v>
      </c>
      <c r="K431" s="111">
        <f>(3.7*F431)/100</f>
        <v>0.555</v>
      </c>
      <c r="L431" s="263">
        <f>(28*F431)/100</f>
        <v>4.2</v>
      </c>
      <c r="N431" s="221"/>
    </row>
    <row r="432" spans="1:14" ht="12.75">
      <c r="A432" s="340" t="s">
        <v>17</v>
      </c>
      <c r="B432" s="493"/>
      <c r="C432" s="542"/>
      <c r="D432" s="543"/>
      <c r="E432" s="544">
        <v>0.015</v>
      </c>
      <c r="F432" s="545">
        <v>15</v>
      </c>
      <c r="G432" s="546">
        <v>90</v>
      </c>
      <c r="H432" s="33">
        <f>E432*G432</f>
        <v>1.3499999999999999</v>
      </c>
      <c r="I432" s="80"/>
      <c r="J432" s="80"/>
      <c r="K432" s="80">
        <f>(F432*99.8)/100</f>
        <v>14.97</v>
      </c>
      <c r="L432" s="81">
        <f>(F432*399)/100</f>
        <v>59.85</v>
      </c>
      <c r="N432" s="221"/>
    </row>
    <row r="433" spans="1:14" ht="12.75">
      <c r="A433" s="1780" t="s">
        <v>41</v>
      </c>
      <c r="B433" s="1780"/>
      <c r="C433" s="1780"/>
      <c r="D433" s="927">
        <v>50</v>
      </c>
      <c r="E433" s="66">
        <v>0.05</v>
      </c>
      <c r="F433" s="21">
        <v>50</v>
      </c>
      <c r="G433" s="22">
        <v>35</v>
      </c>
      <c r="H433" s="23">
        <f>E433*G433</f>
        <v>1.75</v>
      </c>
      <c r="I433" s="294">
        <f>(6.6*F433)/100</f>
        <v>3.3</v>
      </c>
      <c r="J433" s="294">
        <f>(1.2*F433)/100</f>
        <v>0.6</v>
      </c>
      <c r="K433" s="294">
        <f>(33.4*F433)/100</f>
        <v>16.7</v>
      </c>
      <c r="L433" s="67">
        <f>(174*F433)/100</f>
        <v>87</v>
      </c>
      <c r="N433" s="221"/>
    </row>
    <row r="434" spans="1:14" ht="12.75">
      <c r="A434" s="1780" t="s">
        <v>42</v>
      </c>
      <c r="B434" s="1780"/>
      <c r="C434" s="1780"/>
      <c r="D434" s="853">
        <v>30</v>
      </c>
      <c r="E434" s="66">
        <v>0.03</v>
      </c>
      <c r="F434" s="21">
        <v>30</v>
      </c>
      <c r="G434" s="22">
        <v>64</v>
      </c>
      <c r="H434" s="23">
        <f>E434*G434</f>
        <v>1.92</v>
      </c>
      <c r="I434" s="928">
        <f>(F434*8)/100</f>
        <v>2.4</v>
      </c>
      <c r="J434" s="928">
        <f>(F434*1)/100</f>
        <v>0.3</v>
      </c>
      <c r="K434" s="928">
        <f>(F434*49.1)/100</f>
        <v>14.73</v>
      </c>
      <c r="L434" s="929">
        <f>(F434*238)/100</f>
        <v>71.4</v>
      </c>
      <c r="N434" s="221"/>
    </row>
    <row r="435" spans="1:14" ht="12.75">
      <c r="A435" s="56"/>
      <c r="B435" s="221"/>
      <c r="C435" s="221"/>
      <c r="D435" s="247"/>
      <c r="E435" s="57"/>
      <c r="F435" s="57"/>
      <c r="G435" s="209"/>
      <c r="H435" s="209"/>
      <c r="I435" s="223"/>
      <c r="J435" s="223"/>
      <c r="K435" s="223"/>
      <c r="L435" s="732"/>
      <c r="N435" s="221"/>
    </row>
    <row r="436" spans="1:14" ht="15.75">
      <c r="A436" s="733"/>
      <c r="B436" s="675"/>
      <c r="C436" s="734" t="s">
        <v>43</v>
      </c>
      <c r="D436" s="735"/>
      <c r="E436" s="734"/>
      <c r="F436" s="734"/>
      <c r="G436" s="679"/>
      <c r="H436" s="679">
        <f>H434+H433+H430+H429+H425+H417+H411</f>
        <v>72.128</v>
      </c>
      <c r="I436" s="736"/>
      <c r="J436" s="680"/>
      <c r="K436" s="680"/>
      <c r="L436" s="737"/>
      <c r="N436" s="221"/>
    </row>
    <row r="437" spans="1:14" ht="12.75">
      <c r="A437" s="855"/>
      <c r="B437" s="740" t="s">
        <v>24</v>
      </c>
      <c r="C437" s="740"/>
      <c r="D437" s="741"/>
      <c r="E437" s="740"/>
      <c r="F437" s="740"/>
      <c r="G437" s="742"/>
      <c r="H437" s="742" t="s">
        <v>12</v>
      </c>
      <c r="I437" s="930">
        <f>I434+I433+I430+I429+I425+I417+I411</f>
        <v>26.162</v>
      </c>
      <c r="J437" s="930">
        <f>J434+J433+J430+J429+J425+J417+J411</f>
        <v>18.302</v>
      </c>
      <c r="K437" s="930">
        <f>K434+K433+K430+K429+K425+K417+K411</f>
        <v>87.64499999999998</v>
      </c>
      <c r="L437" s="930">
        <f>L434+L433+L430+L429+L425+L417+L411</f>
        <v>639.2900000000001</v>
      </c>
      <c r="N437" s="221"/>
    </row>
    <row r="438" spans="1:12" ht="12.75">
      <c r="A438" s="931"/>
      <c r="B438" s="57"/>
      <c r="C438" s="634"/>
      <c r="D438" s="207"/>
      <c r="E438" s="634"/>
      <c r="F438" s="634"/>
      <c r="G438" s="210"/>
      <c r="H438" s="210"/>
      <c r="I438" s="223"/>
      <c r="J438" s="223"/>
      <c r="K438" s="223"/>
      <c r="L438" s="932">
        <f>L437/1800</f>
        <v>0.35516111111111115</v>
      </c>
    </row>
    <row r="439" spans="1:12" ht="15.75">
      <c r="A439" s="770"/>
      <c r="B439" s="57"/>
      <c r="C439" s="57"/>
      <c r="D439" s="208"/>
      <c r="E439" s="57"/>
      <c r="F439" s="57"/>
      <c r="G439" s="209"/>
      <c r="H439" s="660"/>
      <c r="I439" s="223"/>
      <c r="J439" s="223"/>
      <c r="K439" s="223"/>
      <c r="L439" s="223"/>
    </row>
    <row r="440" spans="1:12" ht="12.75">
      <c r="A440" s="57"/>
      <c r="B440" s="634" t="s">
        <v>44</v>
      </c>
      <c r="C440" s="634" t="s">
        <v>105</v>
      </c>
      <c r="D440" s="208"/>
      <c r="E440" s="57"/>
      <c r="F440" s="57"/>
      <c r="G440" s="57"/>
      <c r="H440" s="57"/>
      <c r="I440" s="634"/>
      <c r="J440" s="634"/>
      <c r="K440" s="209"/>
      <c r="L440" s="208"/>
    </row>
    <row r="441" spans="1:14" ht="12.75">
      <c r="A441" s="1774" t="s">
        <v>132</v>
      </c>
      <c r="B441" s="1774"/>
      <c r="C441" s="1774"/>
      <c r="D441" s="135">
        <v>90</v>
      </c>
      <c r="E441" s="236"/>
      <c r="F441" s="236"/>
      <c r="G441" s="137"/>
      <c r="H441" s="138">
        <f>H442+H443+H444+H445+H446+H447+H449+H448</f>
        <v>13.022000000000002</v>
      </c>
      <c r="I441" s="140">
        <f>I442+I443+I444+I445+I446+I447+I448</f>
        <v>8.33</v>
      </c>
      <c r="J441" s="140">
        <f>J442+J443+J444+J445+J446+J447+J448</f>
        <v>8.045000000000002</v>
      </c>
      <c r="K441" s="140">
        <f>K442+K443+K444+K445+K446+K447+K448</f>
        <v>55.652</v>
      </c>
      <c r="L441" s="140">
        <f>L442+L443+L444+L445+L446+L447+L448</f>
        <v>356.49</v>
      </c>
      <c r="M441" s="26"/>
      <c r="N441" s="313"/>
    </row>
    <row r="442" spans="1:14" ht="12.75">
      <c r="A442" s="933" t="s">
        <v>37</v>
      </c>
      <c r="B442" s="934"/>
      <c r="C442" s="935"/>
      <c r="D442" s="453"/>
      <c r="E442" s="936">
        <v>0.003</v>
      </c>
      <c r="F442" s="937">
        <v>3</v>
      </c>
      <c r="G442" s="938">
        <v>129</v>
      </c>
      <c r="H442" s="939">
        <f>G442*E442</f>
        <v>0.387</v>
      </c>
      <c r="I442" s="521"/>
      <c r="J442" s="455">
        <f>(F442*99.9)/100</f>
        <v>2.9970000000000003</v>
      </c>
      <c r="K442" s="80"/>
      <c r="L442" s="522">
        <f>(F442*899)/100</f>
        <v>26.97</v>
      </c>
      <c r="N442" s="264"/>
    </row>
    <row r="443" spans="1:14" ht="12.75">
      <c r="A443" s="68" t="s">
        <v>16</v>
      </c>
      <c r="B443" s="70"/>
      <c r="C443" s="70"/>
      <c r="D443" s="71"/>
      <c r="E443" s="448">
        <v>0.004</v>
      </c>
      <c r="F443" s="449">
        <v>4</v>
      </c>
      <c r="G443" s="447">
        <v>300</v>
      </c>
      <c r="H443" s="201">
        <f>G443*E443</f>
        <v>1.2</v>
      </c>
      <c r="I443" s="518">
        <v>0</v>
      </c>
      <c r="J443" s="518">
        <f>(F443*8.2)/100</f>
        <v>0.32799999999999996</v>
      </c>
      <c r="K443" s="518">
        <f>(F443*0.8)/100</f>
        <v>0.032</v>
      </c>
      <c r="L443" s="519">
        <f>(F443*748)/100</f>
        <v>29.92</v>
      </c>
      <c r="N443" s="264"/>
    </row>
    <row r="444" spans="1:14" ht="12.75">
      <c r="A444" s="589" t="s">
        <v>18</v>
      </c>
      <c r="B444" s="590"/>
      <c r="C444" s="590"/>
      <c r="D444" s="720"/>
      <c r="E444" s="51">
        <v>0.02</v>
      </c>
      <c r="F444" s="52">
        <v>20</v>
      </c>
      <c r="G444" s="53">
        <v>72</v>
      </c>
      <c r="H444" s="145">
        <f>G444*E444</f>
        <v>1.44</v>
      </c>
      <c r="I444" s="916">
        <f>(2.9*F444)/100</f>
        <v>0.58</v>
      </c>
      <c r="J444" s="916">
        <f>(F444*2.5)/100</f>
        <v>0.5</v>
      </c>
      <c r="K444" s="916">
        <f>(4.8*F444)/100</f>
        <v>0.96</v>
      </c>
      <c r="L444" s="917">
        <f>(F444*60)/100</f>
        <v>12</v>
      </c>
      <c r="N444" s="264"/>
    </row>
    <row r="445" spans="1:14" ht="12.75">
      <c r="A445" s="589" t="s">
        <v>76</v>
      </c>
      <c r="B445" s="591"/>
      <c r="C445" s="940"/>
      <c r="D445" s="50"/>
      <c r="E445" s="51">
        <v>0.04</v>
      </c>
      <c r="F445" s="52">
        <v>40</v>
      </c>
      <c r="G445" s="53">
        <v>49</v>
      </c>
      <c r="H445" s="145">
        <f>G445*E445</f>
        <v>1.96</v>
      </c>
      <c r="I445" s="455">
        <f>(F445*10.8)/100</f>
        <v>4.32</v>
      </c>
      <c r="J445" s="455">
        <f>(F445*1.3)/100</f>
        <v>0.52</v>
      </c>
      <c r="K445" s="455">
        <f>(F445*69.9)/100</f>
        <v>27.96</v>
      </c>
      <c r="L445" s="456">
        <f>(F445*334)/100</f>
        <v>133.6</v>
      </c>
      <c r="N445" s="275"/>
    </row>
    <row r="446" spans="1:14" ht="12.75">
      <c r="A446" s="589" t="s">
        <v>46</v>
      </c>
      <c r="B446" s="591"/>
      <c r="C446" s="940"/>
      <c r="D446" s="50"/>
      <c r="E446" s="717">
        <v>0.012</v>
      </c>
      <c r="F446" s="941">
        <v>10</v>
      </c>
      <c r="G446" s="342">
        <v>230</v>
      </c>
      <c r="H446" s="112">
        <f>E446*G446</f>
        <v>2.7600000000000002</v>
      </c>
      <c r="I446" s="258">
        <f>(12.7*F446)/100</f>
        <v>1.27</v>
      </c>
      <c r="J446" s="258">
        <f>(F446*11.5)/100</f>
        <v>1.15</v>
      </c>
      <c r="K446" s="258">
        <f>(F446*0.7)/100</f>
        <v>0.07</v>
      </c>
      <c r="L446" s="327">
        <f>(157*F446)/100</f>
        <v>15.7</v>
      </c>
      <c r="M446" s="345"/>
      <c r="N446" s="264"/>
    </row>
    <row r="447" spans="1:14" ht="12.75">
      <c r="A447" s="589" t="s">
        <v>17</v>
      </c>
      <c r="B447" s="591"/>
      <c r="C447" s="591"/>
      <c r="D447" s="50"/>
      <c r="E447" s="51">
        <v>0.01</v>
      </c>
      <c r="F447" s="52">
        <v>10</v>
      </c>
      <c r="G447" s="53">
        <v>90</v>
      </c>
      <c r="H447" s="145">
        <f>G447*E447</f>
        <v>0.9</v>
      </c>
      <c r="I447" s="54"/>
      <c r="J447" s="54"/>
      <c r="K447" s="54">
        <f>(F447*99.8)/100</f>
        <v>9.98</v>
      </c>
      <c r="L447" s="55">
        <f>(F447*399)/100</f>
        <v>39.9</v>
      </c>
      <c r="N447" s="313"/>
    </row>
    <row r="448" spans="1:14" ht="12.75">
      <c r="A448" s="589" t="s">
        <v>133</v>
      </c>
      <c r="B448" s="591"/>
      <c r="C448" s="591"/>
      <c r="D448" s="50"/>
      <c r="E448" s="51">
        <v>0.035</v>
      </c>
      <c r="F448" s="52">
        <v>30</v>
      </c>
      <c r="G448" s="53">
        <v>110</v>
      </c>
      <c r="H448" s="145">
        <f>G448*E448</f>
        <v>3.8500000000000005</v>
      </c>
      <c r="I448" s="45">
        <f>(F448*7.2)/100</f>
        <v>2.16</v>
      </c>
      <c r="J448" s="45">
        <f>(F448*8.5)/100</f>
        <v>2.55</v>
      </c>
      <c r="K448" s="45">
        <f>(F448*55.5)/100</f>
        <v>16.65</v>
      </c>
      <c r="L448" s="46">
        <f>(F448*328)/100</f>
        <v>98.4</v>
      </c>
      <c r="N448" s="313"/>
    </row>
    <row r="449" spans="1:14" ht="12.75">
      <c r="A449" s="68" t="s">
        <v>134</v>
      </c>
      <c r="B449" s="70"/>
      <c r="C449" s="70"/>
      <c r="D449" s="728"/>
      <c r="E449" s="760">
        <v>0.0005</v>
      </c>
      <c r="F449" s="78">
        <v>0.5</v>
      </c>
      <c r="G449" s="79">
        <v>1050</v>
      </c>
      <c r="H449" s="290">
        <f>G449*E449</f>
        <v>0.525</v>
      </c>
      <c r="I449" s="80"/>
      <c r="J449" s="80"/>
      <c r="K449" s="80"/>
      <c r="L449" s="81"/>
      <c r="N449" s="264"/>
    </row>
    <row r="450" spans="1:14" ht="12.75">
      <c r="A450" s="1780" t="s">
        <v>49</v>
      </c>
      <c r="B450" s="1780"/>
      <c r="C450" s="1780"/>
      <c r="D450" s="637">
        <v>200</v>
      </c>
      <c r="E450" s="282"/>
      <c r="F450" s="282"/>
      <c r="G450" s="283"/>
      <c r="H450" s="284">
        <f>H451+H452</f>
        <v>1.3488000000000002</v>
      </c>
      <c r="I450" s="285">
        <f>I452</f>
        <v>0</v>
      </c>
      <c r="J450" s="285">
        <f>J452</f>
        <v>0</v>
      </c>
      <c r="K450" s="285">
        <f>K452</f>
        <v>11.975999999999999</v>
      </c>
      <c r="L450" s="285">
        <f>L452</f>
        <v>47.88</v>
      </c>
      <c r="N450" s="421"/>
    </row>
    <row r="451" spans="1:14" ht="12.75">
      <c r="A451" s="56" t="s">
        <v>20</v>
      </c>
      <c r="B451" s="221"/>
      <c r="C451" s="57"/>
      <c r="D451" s="638"/>
      <c r="E451" s="639">
        <v>0.0006000000000000001</v>
      </c>
      <c r="F451" s="60">
        <v>0.6000000000000001</v>
      </c>
      <c r="G451" s="61">
        <v>448</v>
      </c>
      <c r="H451" s="192">
        <f>E451*G451</f>
        <v>0.26880000000000004</v>
      </c>
      <c r="I451" s="80"/>
      <c r="J451" s="80"/>
      <c r="K451" s="80"/>
      <c r="L451" s="81"/>
      <c r="N451" s="466"/>
    </row>
    <row r="452" spans="1:14" ht="12.75">
      <c r="A452" s="429" t="s">
        <v>17</v>
      </c>
      <c r="B452" s="430"/>
      <c r="C452" s="430"/>
      <c r="D452" s="432"/>
      <c r="E452" s="562">
        <v>0.012</v>
      </c>
      <c r="F452" s="505">
        <v>12</v>
      </c>
      <c r="G452" s="214">
        <v>90</v>
      </c>
      <c r="H452" s="535">
        <f>E452*G452</f>
        <v>1.08</v>
      </c>
      <c r="I452" s="80"/>
      <c r="J452" s="80"/>
      <c r="K452" s="80">
        <f>(F452*99.8)/100</f>
        <v>11.975999999999999</v>
      </c>
      <c r="L452" s="81">
        <f>(F452*399)/100</f>
        <v>47.88</v>
      </c>
      <c r="N452" s="275"/>
    </row>
    <row r="453" spans="1:14" ht="12.75">
      <c r="A453" s="1695" t="s">
        <v>133</v>
      </c>
      <c r="B453" s="1696"/>
      <c r="C453" s="1697"/>
      <c r="D453" s="1698">
        <v>100</v>
      </c>
      <c r="E453" s="1699">
        <v>0.11</v>
      </c>
      <c r="F453" s="1700">
        <v>100</v>
      </c>
      <c r="G453" s="1701">
        <v>110</v>
      </c>
      <c r="H453" s="1702">
        <f>G453*E453</f>
        <v>12.1</v>
      </c>
      <c r="I453" s="1703">
        <v>0.36</v>
      </c>
      <c r="J453" s="1704">
        <v>0.036000000000000004</v>
      </c>
      <c r="K453" s="1705">
        <v>8.82</v>
      </c>
      <c r="L453" s="1706">
        <v>42.3</v>
      </c>
      <c r="M453" s="26"/>
      <c r="N453" s="275"/>
    </row>
    <row r="454" spans="1:12" ht="12.75">
      <c r="A454" s="866"/>
      <c r="B454" s="618"/>
      <c r="C454" s="867"/>
      <c r="D454" s="868"/>
      <c r="E454" s="867"/>
      <c r="F454" s="867"/>
      <c r="G454" s="869"/>
      <c r="H454" s="869"/>
      <c r="I454" s="870"/>
      <c r="J454" s="870"/>
      <c r="K454" s="870"/>
      <c r="L454" s="871"/>
    </row>
    <row r="455" spans="1:12" ht="12.75">
      <c r="A455" s="779" t="s">
        <v>51</v>
      </c>
      <c r="B455" s="780"/>
      <c r="C455" s="780"/>
      <c r="D455" s="629"/>
      <c r="E455" s="781">
        <v>0.01</v>
      </c>
      <c r="F455" s="430" t="s">
        <v>52</v>
      </c>
      <c r="G455" s="782">
        <v>20</v>
      </c>
      <c r="H455" s="630">
        <f>E455*G455</f>
        <v>0.2</v>
      </c>
      <c r="I455" s="872"/>
      <c r="J455" s="872"/>
      <c r="K455" s="872"/>
      <c r="L455" s="873"/>
    </row>
    <row r="456" spans="1:12" ht="12.75">
      <c r="A456" s="879" t="s">
        <v>24</v>
      </c>
      <c r="B456" s="881"/>
      <c r="C456" s="881"/>
      <c r="D456" s="882"/>
      <c r="E456" s="945"/>
      <c r="F456" s="945"/>
      <c r="G456" s="946"/>
      <c r="H456" s="883"/>
      <c r="I456" s="947">
        <f>I453+I450+I441</f>
        <v>8.69</v>
      </c>
      <c r="J456" s="947">
        <f>J453+J450+J441</f>
        <v>8.081000000000001</v>
      </c>
      <c r="K456" s="947">
        <f>K453+K450+K441</f>
        <v>76.44800000000001</v>
      </c>
      <c r="L456" s="947">
        <f>L453+L450+L441</f>
        <v>446.67</v>
      </c>
    </row>
    <row r="457" spans="1:12" ht="15.75">
      <c r="A457" s="779"/>
      <c r="B457" s="780"/>
      <c r="C457" s="780"/>
      <c r="D457" s="948"/>
      <c r="E457" s="949" t="s">
        <v>135</v>
      </c>
      <c r="F457" s="950"/>
      <c r="G457" s="951"/>
      <c r="H457" s="952">
        <f>H453+H450+H441</f>
        <v>26.470800000000004</v>
      </c>
      <c r="I457" s="953"/>
      <c r="J457" s="872"/>
      <c r="K457" s="872"/>
      <c r="L457" s="873">
        <f>L456/1800</f>
        <v>0.24815</v>
      </c>
    </row>
    <row r="458" spans="1:12" ht="12.75">
      <c r="A458" s="874"/>
      <c r="B458" s="431"/>
      <c r="C458" s="780"/>
      <c r="D458" s="629"/>
      <c r="E458" s="780"/>
      <c r="F458" s="780"/>
      <c r="G458" s="630"/>
      <c r="H458" s="630"/>
      <c r="I458" s="872"/>
      <c r="J458" s="872"/>
      <c r="K458" s="872"/>
      <c r="L458" s="875"/>
    </row>
    <row r="459" spans="1:12" ht="15.75">
      <c r="A459" s="785"/>
      <c r="B459" s="786"/>
      <c r="C459" s="787" t="s">
        <v>53</v>
      </c>
      <c r="D459" s="788"/>
      <c r="E459" s="786"/>
      <c r="F459" s="787"/>
      <c r="G459" s="789"/>
      <c r="H459" s="789">
        <f>H457+H455+H436+H408+H400</f>
        <v>138.2788</v>
      </c>
      <c r="I459" s="876"/>
      <c r="J459" s="876"/>
      <c r="K459" s="876"/>
      <c r="L459" s="954"/>
    </row>
    <row r="460" spans="1:12" ht="12.75">
      <c r="A460" s="779"/>
      <c r="B460" s="431"/>
      <c r="C460" s="780"/>
      <c r="D460" s="629"/>
      <c r="E460" s="793"/>
      <c r="F460" s="430" t="s">
        <v>24</v>
      </c>
      <c r="G460" s="782"/>
      <c r="H460" s="630"/>
      <c r="I460" s="780"/>
      <c r="J460" s="629"/>
      <c r="K460" s="780"/>
      <c r="L460" s="794"/>
    </row>
    <row r="461" spans="1:12" ht="12.75">
      <c r="A461" s="879" t="s">
        <v>54</v>
      </c>
      <c r="B461" s="880"/>
      <c r="C461" s="881"/>
      <c r="D461" s="882"/>
      <c r="E461" s="881"/>
      <c r="F461" s="881"/>
      <c r="G461" s="883"/>
      <c r="H461" s="883"/>
      <c r="I461" s="955">
        <f>I456+I437+I406+I401</f>
        <v>48.751999999999995</v>
      </c>
      <c r="J461" s="955">
        <f>J456+J437+J406+J401</f>
        <v>40.978</v>
      </c>
      <c r="K461" s="955">
        <f>K456+K437+K406+K401</f>
        <v>225.731</v>
      </c>
      <c r="L461" s="955">
        <f>L456+L437+L405+L401</f>
        <v>1589.9</v>
      </c>
    </row>
    <row r="462" spans="1:12" ht="12.75">
      <c r="A462" s="634"/>
      <c r="B462" s="956"/>
      <c r="C462" s="634"/>
      <c r="D462" s="207"/>
      <c r="E462" s="634"/>
      <c r="F462" s="634"/>
      <c r="G462" s="210"/>
      <c r="H462" s="210"/>
      <c r="I462" s="634"/>
      <c r="J462" s="207"/>
      <c r="K462" s="634"/>
      <c r="L462" s="957">
        <f>L461/1800</f>
        <v>0.8832777777777778</v>
      </c>
    </row>
    <row r="463" spans="1:12" ht="12.75">
      <c r="A463" s="958"/>
      <c r="B463" s="959"/>
      <c r="C463" s="958"/>
      <c r="D463" s="960" t="s">
        <v>136</v>
      </c>
      <c r="E463" s="961"/>
      <c r="F463" s="961"/>
      <c r="G463" s="962"/>
      <c r="H463" s="962">
        <f>H459+H362+H273+H181+H73</f>
        <v>696.3096</v>
      </c>
      <c r="I463" s="963">
        <f>I461+I364+I275+I183+I75</f>
        <v>260.097</v>
      </c>
      <c r="J463" s="963">
        <f>J461+J364+J275+J183+J75</f>
        <v>267.828</v>
      </c>
      <c r="K463" s="963">
        <f>K461+K364+K275+K183+K75</f>
        <v>1042.3295899999998</v>
      </c>
      <c r="L463" s="963">
        <f>L461+L364+L275+L183+L75</f>
        <v>7979.376</v>
      </c>
    </row>
    <row r="464" spans="1:12" ht="12.75">
      <c r="A464" s="958"/>
      <c r="B464" s="959"/>
      <c r="C464" s="958"/>
      <c r="D464" s="964"/>
      <c r="E464" s="958"/>
      <c r="F464" s="958"/>
      <c r="G464" s="965"/>
      <c r="H464" s="965">
        <f>H463/5</f>
        <v>139.26192</v>
      </c>
      <c r="I464" s="966"/>
      <c r="J464" s="966"/>
      <c r="K464" s="966"/>
      <c r="L464" s="966" t="s">
        <v>137</v>
      </c>
    </row>
    <row r="465" spans="1:12" ht="12.75">
      <c r="A465" s="958"/>
      <c r="B465" s="959"/>
      <c r="C465" s="958"/>
      <c r="D465" s="964"/>
      <c r="E465" s="958"/>
      <c r="F465" s="958"/>
      <c r="G465" s="965"/>
      <c r="H465" s="965"/>
      <c r="I465" s="966"/>
      <c r="J465" s="966"/>
      <c r="K465" s="966"/>
      <c r="L465" s="966"/>
    </row>
    <row r="466" spans="1:14" ht="12.75">
      <c r="A466" s="967"/>
      <c r="B466" s="968"/>
      <c r="C466" s="967"/>
      <c r="D466" s="969"/>
      <c r="E466" s="967"/>
      <c r="F466" s="967"/>
      <c r="G466" s="970"/>
      <c r="H466" s="970"/>
      <c r="I466" s="971"/>
      <c r="J466" s="971"/>
      <c r="K466" s="971"/>
      <c r="L466" s="971"/>
      <c r="M466" s="345"/>
      <c r="N466" s="345"/>
    </row>
    <row r="467" spans="1:15" ht="12.75">
      <c r="A467" s="972"/>
      <c r="B467" s="973"/>
      <c r="C467" s="972"/>
      <c r="D467" s="974"/>
      <c r="E467" s="972"/>
      <c r="F467" s="972"/>
      <c r="G467" s="975"/>
      <c r="H467" s="975"/>
      <c r="I467" s="976"/>
      <c r="J467" s="976"/>
      <c r="K467" s="976"/>
      <c r="L467" s="976"/>
      <c r="M467" s="977"/>
      <c r="N467" s="977"/>
      <c r="O467" s="978"/>
    </row>
    <row r="468" spans="1:15" ht="12.75">
      <c r="A468" s="979"/>
      <c r="B468" s="980"/>
      <c r="C468" s="979"/>
      <c r="D468" s="981"/>
      <c r="E468" s="979"/>
      <c r="F468" s="979"/>
      <c r="G468" s="982"/>
      <c r="H468" s="982"/>
      <c r="I468" s="983"/>
      <c r="J468" s="983"/>
      <c r="K468" s="983"/>
      <c r="L468" s="983"/>
      <c r="M468" s="978"/>
      <c r="N468" s="978"/>
      <c r="O468" s="978"/>
    </row>
    <row r="469" spans="1:12" ht="12.75">
      <c r="A469" s="958"/>
      <c r="B469" s="959"/>
      <c r="C469" s="958"/>
      <c r="D469" s="964"/>
      <c r="E469" s="958"/>
      <c r="F469" s="958"/>
      <c r="G469" s="965"/>
      <c r="H469" s="965"/>
      <c r="I469" s="966"/>
      <c r="J469" s="966"/>
      <c r="K469" s="966"/>
      <c r="L469" s="966"/>
    </row>
    <row r="470" spans="1:12" ht="12.75">
      <c r="A470" s="958"/>
      <c r="B470" s="959"/>
      <c r="C470" s="958"/>
      <c r="D470" s="964"/>
      <c r="E470" s="958"/>
      <c r="F470" s="958"/>
      <c r="G470" s="965"/>
      <c r="H470" s="965"/>
      <c r="I470" s="966"/>
      <c r="J470" s="966"/>
      <c r="K470" s="966"/>
      <c r="L470" s="966"/>
    </row>
    <row r="471" spans="1:12" ht="12.75">
      <c r="A471" s="618"/>
      <c r="B471" s="618"/>
      <c r="C471" s="618"/>
      <c r="D471" s="796"/>
      <c r="E471" s="618"/>
      <c r="F471" s="618"/>
      <c r="G471" s="618"/>
      <c r="H471" s="618"/>
      <c r="I471" s="618"/>
      <c r="J471" s="618"/>
      <c r="K471" s="618"/>
      <c r="L471" s="618"/>
    </row>
    <row r="472" spans="1:12" ht="15">
      <c r="A472" s="798"/>
      <c r="B472" s="798"/>
      <c r="C472" s="798"/>
      <c r="D472" s="619"/>
      <c r="E472" s="798"/>
      <c r="F472" s="798"/>
      <c r="G472" s="799"/>
      <c r="H472" s="799"/>
      <c r="I472" s="886" t="s">
        <v>138</v>
      </c>
      <c r="J472" s="796"/>
      <c r="K472" s="618"/>
      <c r="L472" s="796"/>
    </row>
    <row r="473" spans="1:12" ht="12.75">
      <c r="A473" s="618"/>
      <c r="B473" s="618"/>
      <c r="C473" s="618"/>
      <c r="D473" s="619" t="s">
        <v>1</v>
      </c>
      <c r="E473" s="618"/>
      <c r="F473" s="618"/>
      <c r="G473" s="620"/>
      <c r="H473" s="620"/>
      <c r="I473" s="618"/>
      <c r="J473" s="796"/>
      <c r="K473" s="618"/>
      <c r="L473" s="796"/>
    </row>
    <row r="474" spans="1:12" ht="25.5">
      <c r="A474" s="1787" t="s">
        <v>2</v>
      </c>
      <c r="B474" s="1787"/>
      <c r="C474" s="1787"/>
      <c r="D474" s="622" t="s">
        <v>3</v>
      </c>
      <c r="E474" s="623" t="s">
        <v>4</v>
      </c>
      <c r="F474" s="623" t="s">
        <v>5</v>
      </c>
      <c r="G474" s="624" t="s">
        <v>6</v>
      </c>
      <c r="H474" s="625" t="s">
        <v>56</v>
      </c>
      <c r="I474" s="623" t="s">
        <v>8</v>
      </c>
      <c r="J474" s="623" t="s">
        <v>9</v>
      </c>
      <c r="K474" s="801" t="s">
        <v>10</v>
      </c>
      <c r="L474" s="623" t="s">
        <v>11</v>
      </c>
    </row>
    <row r="475" spans="1:12" ht="12.75">
      <c r="A475" s="1787"/>
      <c r="B475" s="1787"/>
      <c r="C475" s="1787"/>
      <c r="D475" s="628"/>
      <c r="E475" s="629"/>
      <c r="F475" s="629"/>
      <c r="G475" s="630"/>
      <c r="H475" s="630"/>
      <c r="I475" s="629" t="s">
        <v>12</v>
      </c>
      <c r="J475" s="629"/>
      <c r="K475" s="629"/>
      <c r="L475" s="802"/>
    </row>
    <row r="476" spans="1:12" ht="12.75">
      <c r="A476" s="803"/>
      <c r="B476" s="803"/>
      <c r="C476" s="803"/>
      <c r="D476" s="207"/>
      <c r="E476" s="207"/>
      <c r="F476" s="207"/>
      <c r="G476" s="210"/>
      <c r="H476" s="210"/>
      <c r="I476" s="207"/>
      <c r="J476" s="207"/>
      <c r="K476" s="207"/>
      <c r="L476" s="207"/>
    </row>
    <row r="477" spans="1:12" ht="12.75">
      <c r="A477" s="634" t="s">
        <v>57</v>
      </c>
      <c r="B477" s="633">
        <v>0.3333333333333333</v>
      </c>
      <c r="C477" s="634"/>
      <c r="D477" s="207"/>
      <c r="E477" s="634"/>
      <c r="F477" s="634"/>
      <c r="G477" s="210"/>
      <c r="H477" s="210"/>
      <c r="I477" s="207"/>
      <c r="J477" s="207"/>
      <c r="K477" s="634"/>
      <c r="L477" s="207"/>
    </row>
    <row r="478" spans="1:12" ht="12.75">
      <c r="A478" s="1773" t="s">
        <v>111</v>
      </c>
      <c r="B478" s="1773"/>
      <c r="C478" s="1773"/>
      <c r="D478" s="20">
        <v>200</v>
      </c>
      <c r="E478" s="21"/>
      <c r="F478" s="21"/>
      <c r="G478" s="22"/>
      <c r="H478" s="23">
        <f>H479+H480+H481+H482</f>
        <v>15.785</v>
      </c>
      <c r="I478" s="24">
        <f>SUM(I479:I482)</f>
        <v>7.1499999999999995</v>
      </c>
      <c r="J478" s="24">
        <f>SUM(J479:J482)</f>
        <v>7.625</v>
      </c>
      <c r="K478" s="24">
        <f>SUM(K479:K482)</f>
        <v>29.762</v>
      </c>
      <c r="L478" s="24">
        <f>SUM(L479:L482)</f>
        <v>222.31</v>
      </c>
    </row>
    <row r="479" spans="1:14" ht="12.75">
      <c r="A479" s="27" t="s">
        <v>80</v>
      </c>
      <c r="B479" s="28"/>
      <c r="C479" s="28"/>
      <c r="D479" s="29"/>
      <c r="E479" s="30">
        <v>0.025</v>
      </c>
      <c r="F479" s="31">
        <v>25</v>
      </c>
      <c r="G479" s="214">
        <v>125</v>
      </c>
      <c r="H479" s="215">
        <f>G479*E479</f>
        <v>3.125</v>
      </c>
      <c r="I479" s="85">
        <f>(11*F479)/100</f>
        <v>2.75</v>
      </c>
      <c r="J479" s="984">
        <f>(F479*1)/100</f>
        <v>0.25</v>
      </c>
      <c r="K479" s="984">
        <f>(74*F479)/100</f>
        <v>18.5</v>
      </c>
      <c r="L479" s="985">
        <f>(F479*333)/100</f>
        <v>83.25</v>
      </c>
      <c r="N479" s="986"/>
    </row>
    <row r="480" spans="1:12" ht="12.75">
      <c r="A480" s="37" t="s">
        <v>16</v>
      </c>
      <c r="B480" s="38"/>
      <c r="C480" s="39"/>
      <c r="D480" s="40"/>
      <c r="E480" s="41">
        <v>0.005</v>
      </c>
      <c r="F480" s="42">
        <v>5</v>
      </c>
      <c r="G480" s="43">
        <v>300</v>
      </c>
      <c r="H480" s="44">
        <f>E480*G480</f>
        <v>1.5</v>
      </c>
      <c r="I480" s="45">
        <f>(F480*1)/100</f>
        <v>0.05</v>
      </c>
      <c r="J480" s="45">
        <f>(F480*72.5)/100</f>
        <v>3.625</v>
      </c>
      <c r="K480" s="45">
        <f>(F480*1.4)/100</f>
        <v>0.07</v>
      </c>
      <c r="L480" s="46">
        <f>(F480*662)/100</f>
        <v>33.1</v>
      </c>
    </row>
    <row r="481" spans="1:12" ht="12.75">
      <c r="A481" s="47" t="s">
        <v>17</v>
      </c>
      <c r="B481" s="48"/>
      <c r="C481" s="49"/>
      <c r="D481" s="50"/>
      <c r="E481" s="51">
        <v>0.004</v>
      </c>
      <c r="F481" s="52">
        <v>4</v>
      </c>
      <c r="G481" s="53">
        <v>90</v>
      </c>
      <c r="H481" s="53">
        <f>E481*G481</f>
        <v>0.36</v>
      </c>
      <c r="I481" s="54"/>
      <c r="J481" s="54"/>
      <c r="K481" s="54">
        <f>(F481*99.8)/100</f>
        <v>3.992</v>
      </c>
      <c r="L481" s="55">
        <f>(F481*399)/100</f>
        <v>15.96</v>
      </c>
    </row>
    <row r="482" spans="1:12" ht="12.75">
      <c r="A482" s="56" t="s">
        <v>18</v>
      </c>
      <c r="B482" s="57"/>
      <c r="C482" s="57"/>
      <c r="D482" s="58"/>
      <c r="E482" s="59">
        <v>0.15</v>
      </c>
      <c r="F482" s="60">
        <v>150</v>
      </c>
      <c r="G482" s="61">
        <v>72</v>
      </c>
      <c r="H482" s="62">
        <f>E482*G482</f>
        <v>10.799999999999999</v>
      </c>
      <c r="I482" s="63">
        <f>(2.9*F482)/100</f>
        <v>4.35</v>
      </c>
      <c r="J482" s="63">
        <f>(F482*2.5)/100</f>
        <v>3.75</v>
      </c>
      <c r="K482" s="63">
        <f>(4.8*F482)/100</f>
        <v>7.2</v>
      </c>
      <c r="L482" s="64">
        <f>(F482*60)/100</f>
        <v>90</v>
      </c>
    </row>
    <row r="483" spans="1:12" ht="12.75">
      <c r="A483" s="1773" t="s">
        <v>139</v>
      </c>
      <c r="B483" s="1773"/>
      <c r="C483" s="1773"/>
      <c r="D483" s="65">
        <v>200</v>
      </c>
      <c r="E483" s="66"/>
      <c r="F483" s="21"/>
      <c r="G483" s="22"/>
      <c r="H483" s="23">
        <f>H484+H486+H485</f>
        <v>1.3488000000000002</v>
      </c>
      <c r="I483" s="67">
        <f>I484+I486+I485</f>
        <v>0</v>
      </c>
      <c r="J483" s="67">
        <f>J484+J486+J485</f>
        <v>0</v>
      </c>
      <c r="K483" s="67">
        <f>K484+K486+K485</f>
        <v>11.975999999999999</v>
      </c>
      <c r="L483" s="67">
        <f>L484+L486+L485</f>
        <v>47.88</v>
      </c>
    </row>
    <row r="484" spans="1:12" ht="12.75">
      <c r="A484" s="68" t="s">
        <v>20</v>
      </c>
      <c r="B484" s="69"/>
      <c r="C484" s="70"/>
      <c r="D484" s="71"/>
      <c r="E484" s="454">
        <v>0.0006000000000000001</v>
      </c>
      <c r="F484" s="73">
        <v>0.6</v>
      </c>
      <c r="G484" s="74">
        <v>448</v>
      </c>
      <c r="H484" s="74">
        <f>E484*G484</f>
        <v>0.26880000000000004</v>
      </c>
      <c r="I484" s="75"/>
      <c r="J484" s="75"/>
      <c r="K484" s="75"/>
      <c r="L484" s="76"/>
    </row>
    <row r="485" spans="1:12" ht="12.75">
      <c r="A485" s="68" t="s">
        <v>17</v>
      </c>
      <c r="B485" s="69"/>
      <c r="C485" s="70"/>
      <c r="D485" s="71"/>
      <c r="E485" s="77">
        <v>0.012</v>
      </c>
      <c r="F485" s="78">
        <v>12</v>
      </c>
      <c r="G485" s="79">
        <v>90</v>
      </c>
      <c r="H485" s="79">
        <f>G485*E485</f>
        <v>1.08</v>
      </c>
      <c r="I485" s="80"/>
      <c r="J485" s="80"/>
      <c r="K485" s="80">
        <f>(F485*99.8)/100</f>
        <v>11.975999999999999</v>
      </c>
      <c r="L485" s="81">
        <f>(F485*399)/100</f>
        <v>47.88</v>
      </c>
    </row>
    <row r="486" spans="1:12" ht="12.75">
      <c r="A486" s="37"/>
      <c r="B486" s="38"/>
      <c r="C486" s="39"/>
      <c r="D486" s="71"/>
      <c r="E486" s="82"/>
      <c r="F486" s="83"/>
      <c r="G486" s="84"/>
      <c r="H486" s="84"/>
      <c r="I486" s="358"/>
      <c r="J486" s="358"/>
      <c r="K486" s="358"/>
      <c r="L486" s="359"/>
    </row>
    <row r="487" spans="1:12" ht="12.75">
      <c r="A487" s="1774" t="s">
        <v>21</v>
      </c>
      <c r="B487" s="1774"/>
      <c r="C487" s="1774"/>
      <c r="D487" s="88" t="s">
        <v>22</v>
      </c>
      <c r="E487" s="89">
        <v>0.02</v>
      </c>
      <c r="F487" s="90">
        <v>20</v>
      </c>
      <c r="G487" s="91">
        <v>91</v>
      </c>
      <c r="H487" s="92">
        <f>E487*G487</f>
        <v>1.82</v>
      </c>
      <c r="I487" s="93">
        <f>(7.5*F487)/100</f>
        <v>1.5</v>
      </c>
      <c r="J487" s="93">
        <f>(9.8*F487)/100</f>
        <v>1.96</v>
      </c>
      <c r="K487" s="93">
        <f>(74.4*F487)/100</f>
        <v>14.88</v>
      </c>
      <c r="L487" s="94">
        <f>(417*F487)/100</f>
        <v>83.4</v>
      </c>
    </row>
    <row r="488" spans="1:12" ht="12.75">
      <c r="A488" s="1797"/>
      <c r="B488" s="1797"/>
      <c r="C488" s="1797"/>
      <c r="D488" s="1797"/>
      <c r="E488" s="77"/>
      <c r="F488" s="78"/>
      <c r="G488" s="79"/>
      <c r="H488" s="987"/>
      <c r="I488" s="521"/>
      <c r="J488" s="521"/>
      <c r="K488" s="521"/>
      <c r="L488" s="889"/>
    </row>
    <row r="489" spans="1:12" ht="12.75">
      <c r="A489" s="56"/>
      <c r="B489" s="57"/>
      <c r="C489" s="57"/>
      <c r="D489" s="208"/>
      <c r="E489" s="208"/>
      <c r="F489" s="208"/>
      <c r="G489" s="209"/>
      <c r="H489" s="209"/>
      <c r="I489" s="223"/>
      <c r="J489" s="223"/>
      <c r="K489" s="223"/>
      <c r="L489" s="732"/>
    </row>
    <row r="490" spans="1:12" ht="15.75">
      <c r="A490" s="656" t="s">
        <v>23</v>
      </c>
      <c r="B490" s="657"/>
      <c r="C490" s="657"/>
      <c r="D490" s="658"/>
      <c r="E490" s="659"/>
      <c r="F490" s="658"/>
      <c r="G490" s="660"/>
      <c r="H490" s="660">
        <f>H487+H483+H478</f>
        <v>18.9538</v>
      </c>
      <c r="I490" s="661"/>
      <c r="J490" s="661"/>
      <c r="K490" s="662"/>
      <c r="L490" s="663"/>
    </row>
    <row r="491" spans="1:12" ht="12.75" customHeight="1">
      <c r="A491" s="1798" t="s">
        <v>24</v>
      </c>
      <c r="B491" s="1798"/>
      <c r="C491" s="1798"/>
      <c r="D491" s="1798"/>
      <c r="E491" s="988"/>
      <c r="F491" s="989"/>
      <c r="G491" s="990"/>
      <c r="H491" s="990"/>
      <c r="I491" s="991">
        <f>I488+I487+I483+I478</f>
        <v>8.649999999999999</v>
      </c>
      <c r="J491" s="991">
        <f>J488+J487+J483+J478</f>
        <v>9.585</v>
      </c>
      <c r="K491" s="991">
        <f>K488+K487+K483+K478</f>
        <v>56.618</v>
      </c>
      <c r="L491" s="992">
        <f>L488+L487+L483+L478</f>
        <v>353.59000000000003</v>
      </c>
    </row>
    <row r="492" spans="1:12" ht="12.75">
      <c r="A492" s="206"/>
      <c r="B492" s="206"/>
      <c r="C492" s="206"/>
      <c r="D492" s="207"/>
      <c r="E492" s="671"/>
      <c r="F492" s="207"/>
      <c r="G492" s="210"/>
      <c r="H492" s="210"/>
      <c r="I492" s="211"/>
      <c r="J492" s="211"/>
      <c r="K492" s="672"/>
      <c r="L492" s="672">
        <f>L491/1800</f>
        <v>0.1964388888888889</v>
      </c>
    </row>
    <row r="493" spans="1:12" ht="12.75">
      <c r="A493" s="1790" t="s">
        <v>140</v>
      </c>
      <c r="B493" s="1790"/>
      <c r="C493" s="1790"/>
      <c r="D493" s="208"/>
      <c r="E493" s="208"/>
      <c r="F493" s="208"/>
      <c r="G493" s="209"/>
      <c r="H493" s="209"/>
      <c r="I493" s="211"/>
      <c r="J493" s="223"/>
      <c r="K493" s="673"/>
      <c r="L493" s="223"/>
    </row>
    <row r="494" spans="1:12" ht="12.75">
      <c r="A494" s="1776" t="s">
        <v>26</v>
      </c>
      <c r="B494" s="1776"/>
      <c r="C494" s="1776"/>
      <c r="D494" s="103">
        <v>100</v>
      </c>
      <c r="E494" s="104"/>
      <c r="F494" s="104"/>
      <c r="G494" s="105"/>
      <c r="H494" s="106">
        <f>H495</f>
        <v>7</v>
      </c>
      <c r="I494" s="139"/>
      <c r="J494" s="140">
        <f>J495</f>
        <v>0</v>
      </c>
      <c r="K494" s="140">
        <f>K495</f>
        <v>10.1</v>
      </c>
      <c r="L494" s="140">
        <f>L495</f>
        <v>46</v>
      </c>
    </row>
    <row r="495" spans="1:12" ht="12.75">
      <c r="A495" s="1777"/>
      <c r="B495" s="1777"/>
      <c r="C495" s="1777"/>
      <c r="D495" s="109"/>
      <c r="E495" s="110">
        <v>0.1</v>
      </c>
      <c r="F495" s="111">
        <v>100</v>
      </c>
      <c r="G495" s="112">
        <v>70</v>
      </c>
      <c r="H495" s="113">
        <f>E495*G495</f>
        <v>7</v>
      </c>
      <c r="I495" s="143"/>
      <c r="J495" s="143"/>
      <c r="K495" s="143">
        <f>(10.1*F495)/100</f>
        <v>10.1</v>
      </c>
      <c r="L495" s="146">
        <f>(F495*46)/100</f>
        <v>46</v>
      </c>
    </row>
    <row r="496" spans="1:12" ht="12.75">
      <c r="A496" s="993"/>
      <c r="B496" s="206"/>
      <c r="C496" s="206"/>
      <c r="D496" s="207"/>
      <c r="E496" s="994"/>
      <c r="F496" s="208"/>
      <c r="G496" s="209"/>
      <c r="H496" s="224"/>
      <c r="I496" s="223"/>
      <c r="J496" s="223"/>
      <c r="K496" s="223"/>
      <c r="L496" s="865"/>
    </row>
    <row r="497" spans="1:12" ht="15.75">
      <c r="A497" s="674" t="s">
        <v>27</v>
      </c>
      <c r="B497" s="675"/>
      <c r="C497" s="676"/>
      <c r="D497" s="677"/>
      <c r="E497" s="677"/>
      <c r="F497" s="677"/>
      <c r="G497" s="678"/>
      <c r="H497" s="679">
        <f>H494</f>
        <v>7</v>
      </c>
      <c r="I497" s="680"/>
      <c r="J497" s="680"/>
      <c r="K497" s="680"/>
      <c r="L497" s="737"/>
    </row>
    <row r="498" spans="1:12" ht="12.75">
      <c r="A498" s="682"/>
      <c r="B498" s="683" t="s">
        <v>24</v>
      </c>
      <c r="C498" s="683"/>
      <c r="D498" s="667"/>
      <c r="E498" s="667"/>
      <c r="F498" s="667"/>
      <c r="G498" s="669"/>
      <c r="H498" s="669"/>
      <c r="I498" s="684">
        <f>I494</f>
        <v>0</v>
      </c>
      <c r="J498" s="684">
        <f>J494</f>
        <v>0</v>
      </c>
      <c r="K498" s="684">
        <f>K494</f>
        <v>10.1</v>
      </c>
      <c r="L498" s="685">
        <f>L494</f>
        <v>46</v>
      </c>
    </row>
    <row r="499" spans="1:12" ht="15">
      <c r="A499" s="995" t="s">
        <v>67</v>
      </c>
      <c r="B499" s="996"/>
      <c r="C499" s="823"/>
      <c r="D499" s="824"/>
      <c r="E499" s="824"/>
      <c r="F499" s="824"/>
      <c r="G499" s="825"/>
      <c r="H499" s="825"/>
      <c r="I499" s="997"/>
      <c r="J499" s="997"/>
      <c r="K499" s="998"/>
      <c r="L499" s="828">
        <f>L495/1800</f>
        <v>0.025555555555555557</v>
      </c>
    </row>
    <row r="500" spans="1:25" ht="12.75">
      <c r="A500" s="1773" t="s">
        <v>141</v>
      </c>
      <c r="B500" s="1773"/>
      <c r="C500" s="1773"/>
      <c r="D500" s="181" t="s">
        <v>70</v>
      </c>
      <c r="E500" s="184"/>
      <c r="F500" s="185"/>
      <c r="G500" s="22"/>
      <c r="H500" s="23">
        <f>SUM(H501:H509)</f>
        <v>14.163</v>
      </c>
      <c r="I500" s="186">
        <f>I501+I502+I503+I504+I505+I506+I507+I508</f>
        <v>2.878</v>
      </c>
      <c r="J500" s="186">
        <f>SUM(J501:J508)</f>
        <v>4.562999999999999</v>
      </c>
      <c r="K500" s="186">
        <f>SUM(K501:K508)</f>
        <v>18.76</v>
      </c>
      <c r="L500" s="67">
        <f>SUM(L501:L508)</f>
        <v>128.63</v>
      </c>
      <c r="M500" s="345"/>
      <c r="N500" s="19"/>
      <c r="O500" s="221"/>
      <c r="P500" s="221"/>
      <c r="Q500" s="207"/>
      <c r="R500" s="270"/>
      <c r="S500" s="28"/>
      <c r="T500" s="150"/>
      <c r="U500" s="17"/>
      <c r="V500" s="233"/>
      <c r="W500" s="233"/>
      <c r="X500" s="233"/>
      <c r="Y500" s="233"/>
    </row>
    <row r="501" spans="1:25" ht="12.75">
      <c r="A501" s="187" t="s">
        <v>30</v>
      </c>
      <c r="B501" s="188"/>
      <c r="C501" s="188"/>
      <c r="D501" s="189"/>
      <c r="E501" s="190"/>
      <c r="F501" s="191"/>
      <c r="G501" s="192"/>
      <c r="H501" s="193"/>
      <c r="I501" s="194"/>
      <c r="J501" s="194"/>
      <c r="K501" s="194"/>
      <c r="L501" s="195"/>
      <c r="M501" s="345"/>
      <c r="N501" s="131"/>
      <c r="O501" s="131"/>
      <c r="P501" s="131"/>
      <c r="Q501" s="133"/>
      <c r="R501" s="149"/>
      <c r="S501" s="149"/>
      <c r="T501" s="150"/>
      <c r="U501" s="17"/>
      <c r="V501" s="16"/>
      <c r="W501" s="16"/>
      <c r="X501" s="16"/>
      <c r="Y501" s="16"/>
    </row>
    <row r="502" spans="1:25" ht="12.75">
      <c r="A502" s="196" t="s">
        <v>16</v>
      </c>
      <c r="B502" s="197"/>
      <c r="C502" s="197"/>
      <c r="D502" s="198"/>
      <c r="E502" s="199">
        <v>0.003</v>
      </c>
      <c r="F502" s="194">
        <v>3</v>
      </c>
      <c r="G502" s="200">
        <v>300</v>
      </c>
      <c r="H502" s="201">
        <f>E502*G502</f>
        <v>0.9</v>
      </c>
      <c r="I502" s="45">
        <f>(F502*1)/100</f>
        <v>0.03</v>
      </c>
      <c r="J502" s="45">
        <f>(F502*72.5)/100</f>
        <v>2.175</v>
      </c>
      <c r="K502" s="45">
        <f>(F502*1.4)/100</f>
        <v>0.041999999999999996</v>
      </c>
      <c r="L502" s="46">
        <f>(F502*662)/100</f>
        <v>19.86</v>
      </c>
      <c r="M502" s="345"/>
      <c r="N502" s="221"/>
      <c r="O502" s="57"/>
      <c r="P502" s="57"/>
      <c r="Q502" s="634"/>
      <c r="R502" s="222"/>
      <c r="S502" s="223"/>
      <c r="T502" s="209"/>
      <c r="U502" s="224"/>
      <c r="V502" s="152"/>
      <c r="W502" s="152"/>
      <c r="X502" s="152"/>
      <c r="Y502" s="152"/>
    </row>
    <row r="503" spans="1:25" ht="12.75">
      <c r="A503" s="999" t="s">
        <v>72</v>
      </c>
      <c r="B503" s="1000"/>
      <c r="C503" s="1000"/>
      <c r="D503" s="289"/>
      <c r="E503" s="1001">
        <v>0.01</v>
      </c>
      <c r="F503" s="1002">
        <v>10</v>
      </c>
      <c r="G503" s="201">
        <v>156</v>
      </c>
      <c r="H503" s="201">
        <f>E503*G503</f>
        <v>1.56</v>
      </c>
      <c r="I503" s="834">
        <f>(2.5*F503)/100</f>
        <v>0.25</v>
      </c>
      <c r="J503" s="834">
        <f>(20*F503)/100</f>
        <v>2</v>
      </c>
      <c r="K503" s="834">
        <f>(3.4*F503)/100</f>
        <v>0.34</v>
      </c>
      <c r="L503" s="220">
        <f>(206*F503)/100</f>
        <v>20.6</v>
      </c>
      <c r="M503" s="345"/>
      <c r="N503" s="286"/>
      <c r="O503" s="28"/>
      <c r="P503" s="28"/>
      <c r="Q503" s="16"/>
      <c r="R503" s="1003"/>
      <c r="S503" s="152"/>
      <c r="T503" s="150"/>
      <c r="U503" s="151"/>
      <c r="V503" s="233"/>
      <c r="W503" s="233"/>
      <c r="X503" s="233"/>
      <c r="Y503" s="233"/>
    </row>
    <row r="504" spans="1:25" ht="12.75">
      <c r="A504" s="68" t="s">
        <v>142</v>
      </c>
      <c r="B504" s="70"/>
      <c r="C504" s="70"/>
      <c r="D504" s="202"/>
      <c r="E504" s="199">
        <v>0.012</v>
      </c>
      <c r="F504" s="194">
        <v>12</v>
      </c>
      <c r="G504" s="200">
        <v>34</v>
      </c>
      <c r="H504" s="201">
        <f>E504*G504</f>
        <v>0.40800000000000003</v>
      </c>
      <c r="I504" s="194">
        <f>(9.3*F504)/100</f>
        <v>1.116</v>
      </c>
      <c r="J504" s="194">
        <f>(F504*1.1)/100</f>
        <v>0.132</v>
      </c>
      <c r="K504" s="194">
        <f>(F504*66.9)/100</f>
        <v>8.028</v>
      </c>
      <c r="L504" s="203">
        <f>(315*F504)/100</f>
        <v>37.8</v>
      </c>
      <c r="M504" s="345"/>
      <c r="N504" s="286"/>
      <c r="O504" s="28"/>
      <c r="P504" s="28"/>
      <c r="Q504" s="16"/>
      <c r="R504" s="1003"/>
      <c r="S504" s="152"/>
      <c r="T504" s="150"/>
      <c r="U504" s="151"/>
      <c r="V504" s="233"/>
      <c r="W504" s="233"/>
      <c r="X504" s="233"/>
      <c r="Y504" s="233"/>
    </row>
    <row r="505" spans="1:25" ht="12.75">
      <c r="A505" s="68" t="s">
        <v>32</v>
      </c>
      <c r="B505" s="70"/>
      <c r="C505" s="70"/>
      <c r="D505" s="202"/>
      <c r="E505" s="199">
        <v>0.08</v>
      </c>
      <c r="F505" s="194">
        <v>50</v>
      </c>
      <c r="G505" s="200">
        <v>56</v>
      </c>
      <c r="H505" s="201">
        <f>E505*G505</f>
        <v>4.48</v>
      </c>
      <c r="I505" s="204">
        <f>(F505*2)/100</f>
        <v>1</v>
      </c>
      <c r="J505" s="204">
        <f>(F505*0.4)/100</f>
        <v>0.2</v>
      </c>
      <c r="K505" s="204">
        <f>(F505*16.3)/100</f>
        <v>8.15</v>
      </c>
      <c r="L505" s="205">
        <f>(F505*77)/100</f>
        <v>38.5</v>
      </c>
      <c r="M505" s="345"/>
      <c r="N505" s="286"/>
      <c r="O505" s="28"/>
      <c r="P505" s="28"/>
      <c r="Q505" s="16"/>
      <c r="R505" s="1003"/>
      <c r="S505" s="152"/>
      <c r="T505" s="150"/>
      <c r="U505" s="151"/>
      <c r="V505" s="233"/>
      <c r="W505" s="233"/>
      <c r="X505" s="233"/>
      <c r="Y505" s="233"/>
    </row>
    <row r="506" spans="1:25" ht="12.75">
      <c r="A506" s="196" t="s">
        <v>33</v>
      </c>
      <c r="B506" s="197"/>
      <c r="C506" s="197"/>
      <c r="D506" s="198"/>
      <c r="E506" s="212">
        <v>0.015</v>
      </c>
      <c r="F506" s="213">
        <v>13</v>
      </c>
      <c r="G506" s="214">
        <v>63</v>
      </c>
      <c r="H506" s="215">
        <f>E506*G506</f>
        <v>0.945</v>
      </c>
      <c r="I506" s="213">
        <f>(F506*1.4)/100</f>
        <v>0.182</v>
      </c>
      <c r="J506" s="213">
        <f>(F506*0.2)/100</f>
        <v>0.026000000000000002</v>
      </c>
      <c r="K506" s="213">
        <f>(F506*8.2)/100</f>
        <v>1.0659999999999998</v>
      </c>
      <c r="L506" s="216">
        <f>(F506*41)/100</f>
        <v>5.33</v>
      </c>
      <c r="M506" s="345"/>
      <c r="N506" s="286"/>
      <c r="O506" s="28"/>
      <c r="P506" s="28"/>
      <c r="Q506" s="16"/>
      <c r="R506" s="1003"/>
      <c r="S506" s="152"/>
      <c r="T506" s="150"/>
      <c r="U506" s="151"/>
      <c r="V506" s="152"/>
      <c r="W506" s="152"/>
      <c r="X506" s="152"/>
      <c r="Y506" s="279"/>
    </row>
    <row r="507" spans="1:25" ht="12.75">
      <c r="A507" s="217" t="s">
        <v>34</v>
      </c>
      <c r="B507" s="218"/>
      <c r="C507" s="218"/>
      <c r="D507" s="219"/>
      <c r="E507" s="212">
        <v>0.017</v>
      </c>
      <c r="F507" s="213">
        <v>12</v>
      </c>
      <c r="G507" s="214">
        <v>70</v>
      </c>
      <c r="H507" s="215">
        <f>G507*E507</f>
        <v>1.1900000000000002</v>
      </c>
      <c r="I507" s="213">
        <f>(F507*1.3)/100</f>
        <v>0.15600000000000003</v>
      </c>
      <c r="J507" s="213">
        <f>(F507*0.1)/100</f>
        <v>0.012000000000000002</v>
      </c>
      <c r="K507" s="213">
        <f>(F507*6.9)/100</f>
        <v>0.8280000000000001</v>
      </c>
      <c r="L507" s="220">
        <f>(F507*35)/100</f>
        <v>4.2</v>
      </c>
      <c r="M507" s="345"/>
      <c r="N507" s="286"/>
      <c r="O507" s="28"/>
      <c r="P507" s="28"/>
      <c r="Q507" s="16"/>
      <c r="R507" s="1003"/>
      <c r="S507" s="152"/>
      <c r="T507" s="150"/>
      <c r="U507" s="151"/>
      <c r="V507" s="268"/>
      <c r="W507" s="268"/>
      <c r="X507" s="268"/>
      <c r="Y507" s="268"/>
    </row>
    <row r="508" spans="1:25" ht="12.75">
      <c r="A508" s="589" t="s">
        <v>143</v>
      </c>
      <c r="B508" s="590"/>
      <c r="C508" s="590"/>
      <c r="D508" s="720"/>
      <c r="E508" s="1004">
        <v>0.03</v>
      </c>
      <c r="F508" s="1005">
        <v>18</v>
      </c>
      <c r="G508" s="730">
        <v>156</v>
      </c>
      <c r="H508" s="1006">
        <f>E508*G508</f>
        <v>4.68</v>
      </c>
      <c r="I508" s="1007">
        <f>(0.8*F508)/100</f>
        <v>0.14400000000000002</v>
      </c>
      <c r="J508" s="1007">
        <f>(0.1*F508)/100</f>
        <v>0.018000000000000002</v>
      </c>
      <c r="K508" s="1007">
        <f>(1.7*F508)/100</f>
        <v>0.306</v>
      </c>
      <c r="L508" s="1008">
        <f>(13*F508)/100</f>
        <v>2.34</v>
      </c>
      <c r="M508" s="345"/>
      <c r="N508" s="286"/>
      <c r="O508" s="28"/>
      <c r="P508" s="28"/>
      <c r="Q508" s="16"/>
      <c r="R508" s="222"/>
      <c r="S508" s="223"/>
      <c r="T508" s="209"/>
      <c r="U508" s="224"/>
      <c r="V508" s="223"/>
      <c r="W508" s="223"/>
      <c r="X508" s="223"/>
      <c r="Y508" s="223"/>
    </row>
    <row r="509" spans="1:25" ht="12.75">
      <c r="A509" s="225"/>
      <c r="B509" s="226"/>
      <c r="C509" s="226"/>
      <c r="D509" s="227"/>
      <c r="E509" s="228"/>
      <c r="F509" s="229"/>
      <c r="G509" s="230"/>
      <c r="H509" s="230"/>
      <c r="I509" s="231"/>
      <c r="J509" s="231"/>
      <c r="K509" s="231"/>
      <c r="L509" s="232"/>
      <c r="M509" s="345"/>
      <c r="N509" s="286"/>
      <c r="O509" s="286"/>
      <c r="P509" s="286"/>
      <c r="Q509" s="287"/>
      <c r="R509" s="222"/>
      <c r="S509" s="223"/>
      <c r="T509" s="209"/>
      <c r="U509" s="224"/>
      <c r="V509" s="223"/>
      <c r="W509" s="223"/>
      <c r="X509" s="223"/>
      <c r="Y509" s="237"/>
    </row>
    <row r="510" spans="1:14" ht="27.75" customHeight="1">
      <c r="A510" s="1799" t="s">
        <v>144</v>
      </c>
      <c r="B510" s="1799"/>
      <c r="C510" s="1799"/>
      <c r="D510" s="234">
        <v>180</v>
      </c>
      <c r="E510" s="647"/>
      <c r="F510" s="648"/>
      <c r="G510" s="91"/>
      <c r="H510" s="1009">
        <f>SUM(H511:H519)</f>
        <v>62.702</v>
      </c>
      <c r="I510" s="1010">
        <f>SUM(I511:I519)</f>
        <v>24.067000000000004</v>
      </c>
      <c r="J510" s="1010">
        <f>SUM(J511:J519)</f>
        <v>26.85</v>
      </c>
      <c r="K510" s="1010">
        <f>SUM(K511:K519)</f>
        <v>31.292</v>
      </c>
      <c r="L510" s="1010">
        <f>SUM(L511:L519)</f>
        <v>466.24</v>
      </c>
      <c r="M510" s="1011"/>
      <c r="N510" s="275"/>
    </row>
    <row r="511" spans="1:14" ht="12.75">
      <c r="A511" s="248" t="s">
        <v>16</v>
      </c>
      <c r="B511" s="249"/>
      <c r="C511" s="250"/>
      <c r="D511" s="251"/>
      <c r="E511" s="252">
        <v>0.004</v>
      </c>
      <c r="F511" s="253">
        <v>4</v>
      </c>
      <c r="G511" s="254">
        <v>300</v>
      </c>
      <c r="H511" s="255">
        <f aca="true" t="shared" si="2" ref="H511:H516">E511*G511</f>
        <v>1.2</v>
      </c>
      <c r="I511" s="45">
        <f>(F511*1)/100</f>
        <v>0.04</v>
      </c>
      <c r="J511" s="45">
        <f>(F511*72.5)/100</f>
        <v>2.9</v>
      </c>
      <c r="K511" s="45">
        <f>(F511*1.4)/100</f>
        <v>0.055999999999999994</v>
      </c>
      <c r="L511" s="46">
        <f>(F511*662)/100</f>
        <v>26.48</v>
      </c>
      <c r="M511" s="1011"/>
      <c r="N511" s="275"/>
    </row>
    <row r="512" spans="1:14" ht="12.75">
      <c r="A512" s="248" t="s">
        <v>37</v>
      </c>
      <c r="B512" s="250"/>
      <c r="C512" s="250"/>
      <c r="D512" s="251"/>
      <c r="E512" s="51">
        <v>0.004</v>
      </c>
      <c r="F512" s="256">
        <v>4</v>
      </c>
      <c r="G512" s="53">
        <v>129</v>
      </c>
      <c r="H512" s="144">
        <f t="shared" si="2"/>
        <v>0.516</v>
      </c>
      <c r="I512" s="257"/>
      <c r="J512" s="258">
        <f>(F512*99.9)/100</f>
        <v>3.9960000000000004</v>
      </c>
      <c r="K512" s="54"/>
      <c r="L512" s="259">
        <f>(F512*899)/100</f>
        <v>35.96</v>
      </c>
      <c r="M512" s="1011"/>
      <c r="N512" s="275"/>
    </row>
    <row r="513" spans="1:14" ht="12.75">
      <c r="A513" s="999" t="s">
        <v>72</v>
      </c>
      <c r="B513" s="1000"/>
      <c r="C513" s="1000"/>
      <c r="D513" s="289"/>
      <c r="E513" s="1001">
        <v>0.015</v>
      </c>
      <c r="F513" s="1002">
        <v>15</v>
      </c>
      <c r="G513" s="201">
        <v>156</v>
      </c>
      <c r="H513" s="201">
        <f t="shared" si="2"/>
        <v>2.34</v>
      </c>
      <c r="I513" s="834">
        <f>(2.5*F513)/100</f>
        <v>0.375</v>
      </c>
      <c r="J513" s="834">
        <f>(20*F513)/100</f>
        <v>3</v>
      </c>
      <c r="K513" s="834">
        <f>(3.4*F513)/100</f>
        <v>0.51</v>
      </c>
      <c r="L513" s="220">
        <f>(206*F513)/100</f>
        <v>30.9</v>
      </c>
      <c r="M513" s="1011"/>
      <c r="N513" s="275"/>
    </row>
    <row r="514" spans="1:13" ht="12.75">
      <c r="A514" s="340" t="s">
        <v>102</v>
      </c>
      <c r="B514" s="493"/>
      <c r="C514" s="493"/>
      <c r="D514" s="832"/>
      <c r="E514" s="835">
        <v>0.04</v>
      </c>
      <c r="F514" s="85">
        <v>40</v>
      </c>
      <c r="G514" s="535">
        <v>63</v>
      </c>
      <c r="H514" s="535">
        <f t="shared" si="2"/>
        <v>2.52</v>
      </c>
      <c r="I514" s="85">
        <f>(11*F514)/100</f>
        <v>4.4</v>
      </c>
      <c r="J514" s="85">
        <f>(1.3*F514)/100</f>
        <v>0.52</v>
      </c>
      <c r="K514" s="85">
        <f>(69.6*F514)/100</f>
        <v>27.84</v>
      </c>
      <c r="L514" s="86">
        <f>(338*F514)/100</f>
        <v>135.2</v>
      </c>
      <c r="M514" s="986"/>
    </row>
    <row r="515" spans="1:13" ht="12.75">
      <c r="A515" s="340" t="s">
        <v>18</v>
      </c>
      <c r="B515" s="493"/>
      <c r="C515" s="493"/>
      <c r="D515" s="832"/>
      <c r="E515" s="835">
        <v>0.02</v>
      </c>
      <c r="F515" s="85">
        <v>20</v>
      </c>
      <c r="G515" s="53">
        <v>72</v>
      </c>
      <c r="H515" s="97">
        <f t="shared" si="2"/>
        <v>1.44</v>
      </c>
      <c r="I515" s="63">
        <f>(2.9*F515)/100</f>
        <v>0.58</v>
      </c>
      <c r="J515" s="63">
        <f>(F515*2.5)/100</f>
        <v>0.5</v>
      </c>
      <c r="K515" s="63">
        <f>(4.8*F515)/100</f>
        <v>0.96</v>
      </c>
      <c r="L515" s="64">
        <f>(F515*60)/100</f>
        <v>12</v>
      </c>
      <c r="M515" s="986"/>
    </row>
    <row r="516" spans="1:13" ht="12.75">
      <c r="A516" s="340" t="s">
        <v>46</v>
      </c>
      <c r="B516" s="493"/>
      <c r="C516" s="493"/>
      <c r="D516" s="832"/>
      <c r="E516" s="835">
        <v>0.021</v>
      </c>
      <c r="F516" s="85">
        <v>20</v>
      </c>
      <c r="G516" s="342">
        <v>230</v>
      </c>
      <c r="H516" s="112">
        <f t="shared" si="2"/>
        <v>4.83</v>
      </c>
      <c r="I516" s="258">
        <f>(12.7*F516)/100</f>
        <v>2.54</v>
      </c>
      <c r="J516" s="258">
        <f>(F516*11.5)/100</f>
        <v>2.3</v>
      </c>
      <c r="K516" s="258">
        <f>(F516*0.7)/100</f>
        <v>0.14</v>
      </c>
      <c r="L516" s="327">
        <f>(157*F516)/100</f>
        <v>31.4</v>
      </c>
      <c r="M516" s="986"/>
    </row>
    <row r="517" spans="1:13" ht="12.75">
      <c r="A517" s="248" t="s">
        <v>33</v>
      </c>
      <c r="B517" s="249"/>
      <c r="C517" s="249"/>
      <c r="D517" s="260"/>
      <c r="E517" s="261">
        <v>0.012</v>
      </c>
      <c r="F517" s="262">
        <v>10</v>
      </c>
      <c r="G517" s="112">
        <v>63</v>
      </c>
      <c r="H517" s="112">
        <f>G517*E517</f>
        <v>0.756</v>
      </c>
      <c r="I517" s="204">
        <f>(F517*1.4)/100</f>
        <v>0.14</v>
      </c>
      <c r="J517" s="204">
        <f>(F517*0.2)/100</f>
        <v>0.02</v>
      </c>
      <c r="K517" s="204">
        <f>(F517*8.2)/100</f>
        <v>0.82</v>
      </c>
      <c r="L517" s="205">
        <f>(F517*41)/100</f>
        <v>4.1</v>
      </c>
      <c r="M517" s="986"/>
    </row>
    <row r="518" spans="1:13" ht="12.75">
      <c r="A518" s="248" t="s">
        <v>34</v>
      </c>
      <c r="B518" s="249"/>
      <c r="C518" s="249"/>
      <c r="D518" s="260"/>
      <c r="E518" s="271">
        <v>0.02</v>
      </c>
      <c r="F518" s="272">
        <v>14</v>
      </c>
      <c r="G518" s="273">
        <v>70</v>
      </c>
      <c r="H518" s="507">
        <f>E518*G518</f>
        <v>1.4000000000000001</v>
      </c>
      <c r="I518" s="204">
        <f>(F518*1.3)/100</f>
        <v>0.182</v>
      </c>
      <c r="J518" s="204">
        <f>(F518*0.1)/100</f>
        <v>0.014000000000000002</v>
      </c>
      <c r="K518" s="204">
        <f>(F518*6.9)/100</f>
        <v>0.9660000000000001</v>
      </c>
      <c r="L518" s="274">
        <f>(F518*35)/100</f>
        <v>4.9</v>
      </c>
      <c r="M518" s="986"/>
    </row>
    <row r="519" spans="1:13" ht="12.75">
      <c r="A519" s="566" t="s">
        <v>36</v>
      </c>
      <c r="B519" s="567"/>
      <c r="C519" s="567"/>
      <c r="D519" s="568"/>
      <c r="E519" s="441">
        <v>0.09</v>
      </c>
      <c r="F519" s="442">
        <v>85</v>
      </c>
      <c r="G519" s="443">
        <v>530</v>
      </c>
      <c r="H519" s="641">
        <f>G519*E519</f>
        <v>47.699999999999996</v>
      </c>
      <c r="I519" s="530">
        <f>(18.6*F519)/100</f>
        <v>15.810000000000002</v>
      </c>
      <c r="J519" s="530">
        <f>(16*F519)/100</f>
        <v>13.6</v>
      </c>
      <c r="K519" s="530"/>
      <c r="L519" s="531">
        <f>(218*F519)/100</f>
        <v>185.3</v>
      </c>
      <c r="M519" s="986"/>
    </row>
    <row r="520" spans="1:12" ht="12.75">
      <c r="A520" s="1773" t="s">
        <v>145</v>
      </c>
      <c r="B520" s="1773"/>
      <c r="C520" s="1773"/>
      <c r="D520" s="20">
        <v>200</v>
      </c>
      <c r="E520" s="846"/>
      <c r="F520" s="846"/>
      <c r="G520" s="23"/>
      <c r="H520" s="23">
        <f>H521+H522</f>
        <v>5.25</v>
      </c>
      <c r="I520" s="294">
        <f>SUM(I521:I522)</f>
        <v>0.075</v>
      </c>
      <c r="J520" s="294">
        <f>SUM(J521:J522)</f>
        <v>0.03</v>
      </c>
      <c r="K520" s="294">
        <f>SUM(K521:K522)</f>
        <v>15.525</v>
      </c>
      <c r="L520" s="847">
        <f>SUM(L521:L522)</f>
        <v>64.05</v>
      </c>
    </row>
    <row r="521" spans="1:12" ht="12.75">
      <c r="A521" s="196" t="s">
        <v>119</v>
      </c>
      <c r="B521" s="848"/>
      <c r="C521" s="849"/>
      <c r="D521" s="850"/>
      <c r="E521" s="851">
        <v>0.015</v>
      </c>
      <c r="F521" s="852">
        <v>15</v>
      </c>
      <c r="G521" s="200">
        <v>260</v>
      </c>
      <c r="H521" s="200">
        <f>G521*E521</f>
        <v>3.9</v>
      </c>
      <c r="I521" s="85">
        <f>(F521*0.5)/100</f>
        <v>0.075</v>
      </c>
      <c r="J521" s="85">
        <f>(F521*0.2)/100</f>
        <v>0.03</v>
      </c>
      <c r="K521" s="85">
        <f>(F521*3.7)/100</f>
        <v>0.555</v>
      </c>
      <c r="L521" s="86">
        <f>(28*F521)/100</f>
        <v>4.2</v>
      </c>
    </row>
    <row r="522" spans="1:12" ht="12.75">
      <c r="A522" s="37" t="s">
        <v>17</v>
      </c>
      <c r="B522" s="38"/>
      <c r="C522" s="292"/>
      <c r="D522" s="293"/>
      <c r="E522" s="41">
        <v>0.015</v>
      </c>
      <c r="F522" s="42">
        <v>15</v>
      </c>
      <c r="G522" s="43">
        <v>90</v>
      </c>
      <c r="H522" s="43">
        <f>E522*G522</f>
        <v>1.3499999999999999</v>
      </c>
      <c r="I522" s="80"/>
      <c r="J522" s="80"/>
      <c r="K522" s="80">
        <f>(F522*99.8)/100</f>
        <v>14.97</v>
      </c>
      <c r="L522" s="81">
        <f>(F522*399)/100</f>
        <v>59.85</v>
      </c>
    </row>
    <row r="523" spans="1:12" ht="12.75">
      <c r="A523" s="37"/>
      <c r="B523" s="38"/>
      <c r="C523" s="292"/>
      <c r="D523" s="293"/>
      <c r="E523" s="41"/>
      <c r="F523" s="42"/>
      <c r="G523" s="43"/>
      <c r="H523" s="43"/>
      <c r="I523" s="1012"/>
      <c r="J523" s="1012"/>
      <c r="K523" s="1012"/>
      <c r="L523" s="1013"/>
    </row>
    <row r="524" spans="1:12" ht="12.75">
      <c r="A524" s="280" t="s">
        <v>41</v>
      </c>
      <c r="B524" s="1014"/>
      <c r="C524" s="1014"/>
      <c r="D524" s="65">
        <v>50</v>
      </c>
      <c r="E524" s="66">
        <v>0.05</v>
      </c>
      <c r="F524" s="21">
        <v>50</v>
      </c>
      <c r="G524" s="22">
        <v>35</v>
      </c>
      <c r="H524" s="23">
        <f>E524*G524</f>
        <v>1.75</v>
      </c>
      <c r="I524" s="294">
        <f>(6.6*F524)/100</f>
        <v>3.3</v>
      </c>
      <c r="J524" s="294">
        <f>(1.2*F524)/100</f>
        <v>0.6</v>
      </c>
      <c r="K524" s="294">
        <f>(33.4*F524)/100</f>
        <v>16.7</v>
      </c>
      <c r="L524" s="67">
        <f>(174*F524)/100</f>
        <v>87</v>
      </c>
    </row>
    <row r="525" spans="1:12" ht="12.75">
      <c r="A525" s="309" t="s">
        <v>48</v>
      </c>
      <c r="B525" s="310"/>
      <c r="C525" s="310"/>
      <c r="D525" s="65">
        <v>30</v>
      </c>
      <c r="E525" s="66">
        <v>0.03</v>
      </c>
      <c r="F525" s="21">
        <v>30</v>
      </c>
      <c r="G525" s="22">
        <v>64</v>
      </c>
      <c r="H525" s="23">
        <f>G525*E525</f>
        <v>1.92</v>
      </c>
      <c r="I525" s="343">
        <f>(F525*8)/100</f>
        <v>2.4</v>
      </c>
      <c r="J525" s="343">
        <f>(F525*1)/100</f>
        <v>0.3</v>
      </c>
      <c r="K525" s="343">
        <f>(F525*49.1)/100</f>
        <v>14.73</v>
      </c>
      <c r="L525" s="344">
        <f>(F525*238)/100</f>
        <v>71.4</v>
      </c>
    </row>
    <row r="526" spans="1:12" ht="15.75">
      <c r="A526" s="733"/>
      <c r="B526" s="675"/>
      <c r="C526" s="734" t="s">
        <v>43</v>
      </c>
      <c r="D526" s="735"/>
      <c r="E526" s="734"/>
      <c r="F526" s="734"/>
      <c r="G526" s="679"/>
      <c r="H526" s="679">
        <f>H500+H510+H520+H524+H525</f>
        <v>85.785</v>
      </c>
      <c r="I526" s="736"/>
      <c r="J526" s="680"/>
      <c r="K526" s="680"/>
      <c r="L526" s="1015">
        <f>L527/1800</f>
        <v>0.4540666666666667</v>
      </c>
    </row>
    <row r="527" spans="1:12" ht="12.75">
      <c r="A527" s="855"/>
      <c r="B527" s="740" t="s">
        <v>24</v>
      </c>
      <c r="C527" s="740"/>
      <c r="D527" s="741"/>
      <c r="E527" s="740"/>
      <c r="F527" s="740"/>
      <c r="G527" s="742"/>
      <c r="H527" s="742"/>
      <c r="I527" s="930">
        <f>I525+I524+I520+I510+I500</f>
        <v>32.72</v>
      </c>
      <c r="J527" s="930">
        <f>J525+J524+J520+J510+J500</f>
        <v>32.343</v>
      </c>
      <c r="K527" s="930">
        <f>K525+K524+K520+K510+K500</f>
        <v>97.007</v>
      </c>
      <c r="L527" s="930">
        <f>L525+L524+L520+L510+L500</f>
        <v>817.32</v>
      </c>
    </row>
    <row r="528" spans="1:12" ht="12.75">
      <c r="A528" s="931"/>
      <c r="B528" s="57"/>
      <c r="C528" s="634"/>
      <c r="D528" s="207"/>
      <c r="E528" s="634"/>
      <c r="F528" s="634"/>
      <c r="G528" s="210"/>
      <c r="H528" s="210"/>
      <c r="I528" s="223"/>
      <c r="J528" s="223"/>
      <c r="K528" s="223"/>
      <c r="L528" s="672"/>
    </row>
    <row r="529" spans="1:25" ht="12.75">
      <c r="A529" s="931" t="s">
        <v>44</v>
      </c>
      <c r="B529" s="57"/>
      <c r="C529" s="634"/>
      <c r="D529" s="207"/>
      <c r="E529" s="634"/>
      <c r="F529" s="634"/>
      <c r="G529" s="210"/>
      <c r="H529" s="210"/>
      <c r="I529" s="223"/>
      <c r="J529" s="223"/>
      <c r="K529" s="223"/>
      <c r="L529" s="672"/>
      <c r="N529" s="313"/>
      <c r="O529" s="313"/>
      <c r="P529" s="313"/>
      <c r="Q529" s="314"/>
      <c r="R529" s="1016"/>
      <c r="S529" s="314"/>
      <c r="T529" s="1017"/>
      <c r="U529" s="316"/>
      <c r="V529" s="314"/>
      <c r="W529" s="314"/>
      <c r="X529" s="314"/>
      <c r="Y529" s="314"/>
    </row>
    <row r="530" spans="1:25" ht="12.75">
      <c r="A530" s="931"/>
      <c r="B530" s="57"/>
      <c r="C530" s="634"/>
      <c r="D530" s="207"/>
      <c r="E530" s="634"/>
      <c r="F530" s="634"/>
      <c r="G530" s="210"/>
      <c r="H530" s="210"/>
      <c r="I530" s="223"/>
      <c r="J530" s="223"/>
      <c r="K530" s="223"/>
      <c r="L530" s="672"/>
      <c r="N530" s="264"/>
      <c r="O530" s="264"/>
      <c r="P530" s="264"/>
      <c r="Q530" s="325"/>
      <c r="R530" s="315"/>
      <c r="S530" s="266"/>
      <c r="T530" s="267"/>
      <c r="U530" s="267"/>
      <c r="V530" s="268"/>
      <c r="W530" s="268"/>
      <c r="X530" s="268"/>
      <c r="Y530" s="269"/>
    </row>
    <row r="531" spans="1:25" ht="30.75" customHeight="1">
      <c r="A531" s="1800" t="s">
        <v>146</v>
      </c>
      <c r="B531" s="1800"/>
      <c r="C531" s="1800"/>
      <c r="D531" s="311">
        <v>150</v>
      </c>
      <c r="E531" s="312"/>
      <c r="F531" s="282"/>
      <c r="G531" s="283"/>
      <c r="H531" s="284">
        <f>SUM(H532:H536)</f>
        <v>24.275999999999996</v>
      </c>
      <c r="I531" s="285">
        <f>I532+I534+I536</f>
        <v>23.06</v>
      </c>
      <c r="J531" s="285">
        <f>J532+J534+J536</f>
        <v>21.11</v>
      </c>
      <c r="K531" s="285">
        <f>K532+K534+K536</f>
        <v>3.45</v>
      </c>
      <c r="L531" s="285">
        <f>L532+L533+L534+L535+L536</f>
        <v>339.64000000000004</v>
      </c>
      <c r="N531" s="275"/>
      <c r="O531" s="275"/>
      <c r="P531" s="275"/>
      <c r="Q531" s="276"/>
      <c r="R531" s="277"/>
      <c r="S531" s="278"/>
      <c r="T531" s="471"/>
      <c r="U531" s="471"/>
      <c r="V531" s="291"/>
      <c r="W531" s="291"/>
      <c r="X531" s="291"/>
      <c r="Y531" s="291"/>
    </row>
    <row r="532" spans="1:25" ht="12.75">
      <c r="A532" s="318" t="s">
        <v>18</v>
      </c>
      <c r="B532" s="319"/>
      <c r="C532" s="319"/>
      <c r="D532" s="320"/>
      <c r="E532" s="321">
        <v>0.05</v>
      </c>
      <c r="F532" s="322">
        <v>50</v>
      </c>
      <c r="G532" s="323">
        <v>72</v>
      </c>
      <c r="H532" s="324">
        <f>G532*E532</f>
        <v>3.6</v>
      </c>
      <c r="I532" s="54">
        <f>(2.9*F532)/100</f>
        <v>1.45</v>
      </c>
      <c r="J532" s="54">
        <f>(F532*2.5)/100</f>
        <v>1.25</v>
      </c>
      <c r="K532" s="54">
        <f>(4.8*F532)/100</f>
        <v>2.4</v>
      </c>
      <c r="L532" s="55">
        <f>(F532*60)/100</f>
        <v>30</v>
      </c>
      <c r="N532" s="264"/>
      <c r="O532" s="266"/>
      <c r="P532" s="266"/>
      <c r="Q532" s="831"/>
      <c r="R532" s="277"/>
      <c r="S532" s="291"/>
      <c r="T532" s="471"/>
      <c r="U532" s="471"/>
      <c r="V532" s="426"/>
      <c r="W532" s="332"/>
      <c r="X532" s="291"/>
      <c r="Y532" s="1018"/>
    </row>
    <row r="533" spans="1:25" ht="12.75">
      <c r="A533" s="318" t="s">
        <v>76</v>
      </c>
      <c r="B533" s="319"/>
      <c r="C533" s="319"/>
      <c r="D533" s="320"/>
      <c r="E533" s="212">
        <v>0.004</v>
      </c>
      <c r="F533" s="213">
        <v>4</v>
      </c>
      <c r="G533" s="53">
        <v>49</v>
      </c>
      <c r="H533" s="97">
        <f>E533*G533</f>
        <v>0.196</v>
      </c>
      <c r="I533" s="455">
        <f>(F533*10.8)/100</f>
        <v>0.43200000000000005</v>
      </c>
      <c r="J533" s="455">
        <f>(F533*1.3)/100</f>
        <v>0.052000000000000005</v>
      </c>
      <c r="K533" s="455">
        <f>(F533*69.9)/100</f>
        <v>2.7960000000000003</v>
      </c>
      <c r="L533" s="456">
        <f>(F533*334)/100</f>
        <v>13.36</v>
      </c>
      <c r="N533" s="264"/>
      <c r="O533" s="266"/>
      <c r="P533" s="266"/>
      <c r="Q533" s="831"/>
      <c r="R533" s="277"/>
      <c r="S533" s="291"/>
      <c r="T533" s="471"/>
      <c r="U533" s="471"/>
      <c r="V533" s="426"/>
      <c r="W533" s="332"/>
      <c r="X533" s="291"/>
      <c r="Y533" s="1018"/>
    </row>
    <row r="534" spans="1:12" ht="12.75">
      <c r="A534" s="318" t="s">
        <v>32</v>
      </c>
      <c r="B534" s="319"/>
      <c r="C534" s="319"/>
      <c r="D534" s="320"/>
      <c r="E534" s="321">
        <v>0.25</v>
      </c>
      <c r="F534" s="322">
        <v>150</v>
      </c>
      <c r="G534" s="323">
        <v>56</v>
      </c>
      <c r="H534" s="324">
        <f>G534*E534</f>
        <v>14</v>
      </c>
      <c r="I534" s="258">
        <f>(12.7*F534)/100</f>
        <v>19.05</v>
      </c>
      <c r="J534" s="258">
        <f>(F534*11.5)/100</f>
        <v>17.25</v>
      </c>
      <c r="K534" s="258">
        <f>(F534*0.7)/100</f>
        <v>1.05</v>
      </c>
      <c r="L534" s="327">
        <f>(157*F534)/100</f>
        <v>235.5</v>
      </c>
    </row>
    <row r="535" spans="1:12" ht="12.75">
      <c r="A535" s="318" t="s">
        <v>16</v>
      </c>
      <c r="B535" s="319"/>
      <c r="C535" s="319"/>
      <c r="D535" s="320"/>
      <c r="E535" s="252">
        <v>0.004</v>
      </c>
      <c r="F535" s="253">
        <v>4</v>
      </c>
      <c r="G535" s="254">
        <v>300</v>
      </c>
      <c r="H535" s="323">
        <f>G535*E535</f>
        <v>1.2</v>
      </c>
      <c r="I535" s="45">
        <f>(F535*1)/100</f>
        <v>0.04</v>
      </c>
      <c r="J535" s="45">
        <f>(F535*72.5)/100</f>
        <v>2.9</v>
      </c>
      <c r="K535" s="45">
        <f>(F535*1.4)/100</f>
        <v>0.055999999999999994</v>
      </c>
      <c r="L535" s="46">
        <f>(F535*662)/100</f>
        <v>26.48</v>
      </c>
    </row>
    <row r="536" spans="1:12" ht="12.75">
      <c r="A536" s="429" t="s">
        <v>65</v>
      </c>
      <c r="B536" s="430"/>
      <c r="C536" s="430"/>
      <c r="D536" s="751"/>
      <c r="E536" s="544">
        <v>0.011</v>
      </c>
      <c r="F536" s="545">
        <v>10</v>
      </c>
      <c r="G536" s="546">
        <v>480</v>
      </c>
      <c r="H536" s="756">
        <f>G536*E536</f>
        <v>5.279999999999999</v>
      </c>
      <c r="I536" s="461">
        <f>(25.6*F536)/100</f>
        <v>2.56</v>
      </c>
      <c r="J536" s="461">
        <f>(26.1*F536)/100</f>
        <v>2.61</v>
      </c>
      <c r="K536" s="461"/>
      <c r="L536" s="462">
        <f>(F536*343)/100</f>
        <v>34.3</v>
      </c>
    </row>
    <row r="537" spans="1:25" ht="12.75">
      <c r="A537" s="942"/>
      <c r="B537" s="328"/>
      <c r="C537" s="328"/>
      <c r="D537" s="361"/>
      <c r="E537" s="235"/>
      <c r="F537" s="236"/>
      <c r="G537" s="91"/>
      <c r="H537" s="92"/>
      <c r="I537" s="654"/>
      <c r="J537" s="654"/>
      <c r="K537" s="654"/>
      <c r="L537" s="655"/>
      <c r="M537" s="26"/>
      <c r="N537" s="313"/>
      <c r="O537" s="313"/>
      <c r="P537" s="313"/>
      <c r="Q537" s="314"/>
      <c r="R537" s="1016"/>
      <c r="S537" s="314"/>
      <c r="T537" s="1017"/>
      <c r="U537" s="316"/>
      <c r="V537" s="314"/>
      <c r="W537" s="314"/>
      <c r="X537" s="314"/>
      <c r="Y537" s="314"/>
    </row>
    <row r="538" spans="1:13" ht="12.75">
      <c r="A538" s="360" t="s">
        <v>48</v>
      </c>
      <c r="B538" s="328"/>
      <c r="C538" s="328"/>
      <c r="D538" s="587">
        <v>30</v>
      </c>
      <c r="E538" s="235">
        <v>0.03</v>
      </c>
      <c r="F538" s="236">
        <v>30</v>
      </c>
      <c r="G538" s="137">
        <v>64</v>
      </c>
      <c r="H538" s="138">
        <f>G538*E538</f>
        <v>1.92</v>
      </c>
      <c r="I538" s="1019">
        <f>(F538*8)/100</f>
        <v>2.4</v>
      </c>
      <c r="J538" s="1019">
        <f>(F538*1)/100</f>
        <v>0.3</v>
      </c>
      <c r="K538" s="1019">
        <f>(F538*49.1)/100</f>
        <v>14.73</v>
      </c>
      <c r="L538" s="1020">
        <f>(F538*238)/100</f>
        <v>71.4</v>
      </c>
      <c r="M538" s="345"/>
    </row>
    <row r="539" spans="1:14" ht="12.75">
      <c r="A539" s="1801" t="s">
        <v>49</v>
      </c>
      <c r="B539" s="1801"/>
      <c r="C539" s="1801"/>
      <c r="D539" s="1021">
        <v>200</v>
      </c>
      <c r="E539" s="90"/>
      <c r="F539" s="1022"/>
      <c r="G539" s="1022"/>
      <c r="H539" s="1009">
        <f>H540+H541</f>
        <v>1.3488000000000002</v>
      </c>
      <c r="I539" s="1023">
        <f>SUM(I540:I541)</f>
        <v>0</v>
      </c>
      <c r="J539" s="1023">
        <f>SUM(J540:J541)</f>
        <v>0</v>
      </c>
      <c r="K539" s="1023">
        <f>SUM(K540:K541)</f>
        <v>11.975999999999999</v>
      </c>
      <c r="L539" s="1010">
        <f>SUM(L540:L541)</f>
        <v>47.88</v>
      </c>
      <c r="M539" s="345"/>
      <c r="N539" s="221"/>
    </row>
    <row r="540" spans="1:14" ht="12.75">
      <c r="A540" s="1802" t="s">
        <v>20</v>
      </c>
      <c r="B540" s="1802"/>
      <c r="C540" s="1802"/>
      <c r="D540" s="1024"/>
      <c r="E540" s="1025">
        <v>0.0006000000000000001</v>
      </c>
      <c r="F540" s="1026">
        <v>0.6</v>
      </c>
      <c r="G540" s="244">
        <v>448</v>
      </c>
      <c r="H540" s="1027">
        <f>G540*E540</f>
        <v>0.26880000000000004</v>
      </c>
      <c r="I540" s="1027"/>
      <c r="J540" s="1027"/>
      <c r="K540" s="1027"/>
      <c r="L540" s="1028"/>
      <c r="M540" s="345"/>
      <c r="N540" s="221"/>
    </row>
    <row r="541" spans="1:14" ht="12.75">
      <c r="A541" s="457" t="s">
        <v>17</v>
      </c>
      <c r="B541" s="458"/>
      <c r="C541" s="458"/>
      <c r="D541" s="1029"/>
      <c r="E541" s="476">
        <v>0.012</v>
      </c>
      <c r="F541" s="1030">
        <v>12</v>
      </c>
      <c r="G541" s="478">
        <v>90</v>
      </c>
      <c r="H541" s="479">
        <f>G541*E541</f>
        <v>1.08</v>
      </c>
      <c r="I541" s="479"/>
      <c r="J541" s="479"/>
      <c r="K541" s="479">
        <f>(F541*99.8)/100</f>
        <v>11.975999999999999</v>
      </c>
      <c r="L541" s="480">
        <f>(F541*399)/100</f>
        <v>47.88</v>
      </c>
      <c r="M541" s="345"/>
      <c r="N541" s="221"/>
    </row>
    <row r="542" spans="1:13" ht="12.75">
      <c r="A542" s="942"/>
      <c r="B542" s="90"/>
      <c r="C542" s="943"/>
      <c r="D542" s="944"/>
      <c r="E542" s="235"/>
      <c r="F542" s="236"/>
      <c r="G542" s="137"/>
      <c r="H542" s="138"/>
      <c r="I542" s="329"/>
      <c r="J542" s="107"/>
      <c r="K542" s="366"/>
      <c r="L542" s="108"/>
      <c r="M542" s="345"/>
    </row>
    <row r="543" spans="1:12" ht="15.75">
      <c r="A543" s="768"/>
      <c r="B543" s="769"/>
      <c r="C543" s="770" t="s">
        <v>50</v>
      </c>
      <c r="D543" s="658"/>
      <c r="E543" s="771"/>
      <c r="F543" s="771"/>
      <c r="G543" s="772"/>
      <c r="H543" s="660">
        <f>H542+H539+H537+H531+H538</f>
        <v>27.544799999999995</v>
      </c>
      <c r="I543" s="773"/>
      <c r="J543" s="773"/>
      <c r="K543" s="773"/>
      <c r="L543" s="663"/>
    </row>
    <row r="544" spans="1:12" ht="12.75">
      <c r="A544" s="774"/>
      <c r="B544" s="775"/>
      <c r="C544" s="776"/>
      <c r="D544" s="777"/>
      <c r="E544" s="442"/>
      <c r="F544" s="442"/>
      <c r="G544" s="443"/>
      <c r="H544" s="443"/>
      <c r="I544" s="844"/>
      <c r="J544" s="844"/>
      <c r="K544" s="844"/>
      <c r="L544" s="1031"/>
    </row>
    <row r="545" spans="1:12" ht="12.75">
      <c r="A545" s="866"/>
      <c r="B545" s="618"/>
      <c r="C545" s="867"/>
      <c r="D545" s="868"/>
      <c r="E545" s="867"/>
      <c r="F545" s="867"/>
      <c r="G545" s="869"/>
      <c r="H545" s="869"/>
      <c r="I545" s="870"/>
      <c r="J545" s="870"/>
      <c r="K545" s="870"/>
      <c r="L545" s="871"/>
    </row>
    <row r="546" spans="1:12" ht="12.75">
      <c r="A546" s="779" t="s">
        <v>51</v>
      </c>
      <c r="B546" s="780"/>
      <c r="C546" s="780"/>
      <c r="D546" s="629"/>
      <c r="E546" s="781">
        <v>0.01</v>
      </c>
      <c r="F546" s="431" t="s">
        <v>52</v>
      </c>
      <c r="G546" s="782">
        <v>20</v>
      </c>
      <c r="H546" s="630">
        <f>E546*G546</f>
        <v>0.2</v>
      </c>
      <c r="I546" s="872"/>
      <c r="J546" s="872"/>
      <c r="K546" s="872"/>
      <c r="L546" s="873"/>
    </row>
    <row r="547" spans="1:15" ht="12.75">
      <c r="A547" s="874"/>
      <c r="B547" s="431"/>
      <c r="C547" s="780"/>
      <c r="D547" s="629"/>
      <c r="E547" s="780"/>
      <c r="F547" s="780"/>
      <c r="G547" s="630"/>
      <c r="H547" s="630"/>
      <c r="I547" s="872"/>
      <c r="J547" s="872"/>
      <c r="K547" s="872"/>
      <c r="L547" s="875"/>
      <c r="O547" t="s">
        <v>137</v>
      </c>
    </row>
    <row r="548" spans="1:12" ht="15.75">
      <c r="A548" s="785"/>
      <c r="B548" s="786"/>
      <c r="C548" s="787" t="s">
        <v>53</v>
      </c>
      <c r="D548" s="788"/>
      <c r="E548" s="786"/>
      <c r="F548" s="787"/>
      <c r="G548" s="789"/>
      <c r="H548" s="789">
        <f>H546+H543+H526+H497+H490</f>
        <v>139.4836</v>
      </c>
      <c r="I548" s="876"/>
      <c r="J548" s="876"/>
      <c r="K548" s="876"/>
      <c r="L548" s="954"/>
    </row>
    <row r="549" spans="1:12" ht="12.75">
      <c r="A549" s="879"/>
      <c r="B549" s="881"/>
      <c r="C549" s="881"/>
      <c r="D549" s="882"/>
      <c r="E549" s="1032"/>
      <c r="F549" s="1033" t="s">
        <v>24</v>
      </c>
      <c r="G549" s="883"/>
      <c r="H549" s="883"/>
      <c r="I549" s="1034">
        <f>I542+I539+I537+I531+I538</f>
        <v>25.459999999999997</v>
      </c>
      <c r="J549" s="1034">
        <f>J542+J539+J537+J531+J538</f>
        <v>21.41</v>
      </c>
      <c r="K549" s="1034">
        <f>K542+K539+K537+K531+K538</f>
        <v>30.156</v>
      </c>
      <c r="L549" s="1034">
        <f>L542+L539+L537+L531+L538</f>
        <v>458.9200000000001</v>
      </c>
    </row>
    <row r="550" spans="1:12" ht="12.75">
      <c r="A550" s="779"/>
      <c r="B550" s="431"/>
      <c r="C550" s="780"/>
      <c r="D550" s="629"/>
      <c r="E550" s="793"/>
      <c r="F550" s="430"/>
      <c r="G550" s="782"/>
      <c r="H550" s="782"/>
      <c r="I550" s="872"/>
      <c r="J550" s="872"/>
      <c r="K550" s="872"/>
      <c r="L550" s="878">
        <f>L549/1800</f>
        <v>0.2549555555555556</v>
      </c>
    </row>
    <row r="551" spans="1:12" ht="12.75">
      <c r="A551" s="779" t="s">
        <v>54</v>
      </c>
      <c r="B551" s="795"/>
      <c r="C551" s="780"/>
      <c r="D551" s="629"/>
      <c r="E551" s="780"/>
      <c r="F551" s="780"/>
      <c r="G551" s="630"/>
      <c r="H551" s="630"/>
      <c r="I551" s="630">
        <f>I549+I527+I498+I491</f>
        <v>66.82999999999998</v>
      </c>
      <c r="J551" s="630">
        <f>J549+J527+J498+J491</f>
        <v>63.338</v>
      </c>
      <c r="K551" s="630">
        <f>K549+K527+K498+K491</f>
        <v>193.881</v>
      </c>
      <c r="L551" s="630">
        <f>L549+L527+L498+L491</f>
        <v>1675.8300000000004</v>
      </c>
    </row>
    <row r="552" spans="1:12" ht="12.75">
      <c r="A552" s="618"/>
      <c r="B552" s="618"/>
      <c r="C552" s="618"/>
      <c r="D552" s="796"/>
      <c r="E552" s="618"/>
      <c r="F552" s="618"/>
      <c r="G552" s="618"/>
      <c r="H552" s="618"/>
      <c r="I552" s="621"/>
      <c r="J552" s="621"/>
      <c r="K552" s="621"/>
      <c r="L552" s="885">
        <f>L551/1800</f>
        <v>0.9310166666666668</v>
      </c>
    </row>
    <row r="553" spans="1:12" ht="12.75">
      <c r="A553" s="618"/>
      <c r="B553" s="618"/>
      <c r="C553" s="618"/>
      <c r="D553" s="796"/>
      <c r="E553" s="618"/>
      <c r="F553" s="618"/>
      <c r="G553" s="618"/>
      <c r="H553" s="618"/>
      <c r="I553" s="621"/>
      <c r="J553" s="621"/>
      <c r="K553" s="621"/>
      <c r="L553" s="621"/>
    </row>
    <row r="554" spans="1:12" ht="12.75">
      <c r="A554" s="618"/>
      <c r="B554" s="618"/>
      <c r="C554" s="618"/>
      <c r="D554" s="796"/>
      <c r="E554" s="618"/>
      <c r="F554" s="618"/>
      <c r="G554" s="618"/>
      <c r="H554" s="618"/>
      <c r="I554" s="621"/>
      <c r="J554" s="621"/>
      <c r="K554" s="621"/>
      <c r="L554" s="621"/>
    </row>
    <row r="555" spans="1:12" ht="12.75">
      <c r="A555" s="618"/>
      <c r="B555" s="618"/>
      <c r="C555" s="618"/>
      <c r="D555" s="796"/>
      <c r="E555" s="618"/>
      <c r="F555" s="618"/>
      <c r="G555" s="618"/>
      <c r="H555" s="618"/>
      <c r="I555" s="621"/>
      <c r="J555" s="621"/>
      <c r="K555" s="621"/>
      <c r="L555" s="621"/>
    </row>
    <row r="556" spans="1:12" ht="12.75">
      <c r="A556" s="618"/>
      <c r="B556" s="618"/>
      <c r="C556" s="618"/>
      <c r="D556" s="796"/>
      <c r="E556" s="618"/>
      <c r="F556" s="618"/>
      <c r="G556" s="618"/>
      <c r="H556" s="618"/>
      <c r="I556" s="621"/>
      <c r="J556" s="621"/>
      <c r="K556" s="621"/>
      <c r="L556" s="621"/>
    </row>
    <row r="557" spans="1:12" ht="12.75">
      <c r="A557" s="618"/>
      <c r="B557" s="618"/>
      <c r="C557" s="618"/>
      <c r="D557" s="796"/>
      <c r="E557" s="618"/>
      <c r="F557" s="618"/>
      <c r="G557" s="618"/>
      <c r="H557" s="618"/>
      <c r="I557" s="621"/>
      <c r="J557" s="621"/>
      <c r="K557" s="621"/>
      <c r="L557" s="621"/>
    </row>
    <row r="558" spans="1:12" ht="12.75">
      <c r="A558" s="618"/>
      <c r="B558" s="618"/>
      <c r="C558" s="618"/>
      <c r="D558" s="796"/>
      <c r="E558" s="618"/>
      <c r="F558" s="618"/>
      <c r="G558" s="618"/>
      <c r="H558" s="618"/>
      <c r="I558" s="621"/>
      <c r="J558" s="621"/>
      <c r="K558" s="621"/>
      <c r="L558" s="621"/>
    </row>
    <row r="559" spans="1:12" ht="12.75">
      <c r="A559" s="618"/>
      <c r="B559" s="618"/>
      <c r="C559" s="618"/>
      <c r="D559" s="796"/>
      <c r="E559" s="618"/>
      <c r="F559" s="618"/>
      <c r="G559" s="618"/>
      <c r="H559" s="618"/>
      <c r="I559" s="621"/>
      <c r="J559" s="621"/>
      <c r="K559" s="621"/>
      <c r="L559" s="621"/>
    </row>
    <row r="560" spans="1:12" ht="12.75">
      <c r="A560" s="618"/>
      <c r="B560" s="618"/>
      <c r="C560" s="618"/>
      <c r="D560" s="796"/>
      <c r="E560" s="618"/>
      <c r="F560" s="618"/>
      <c r="G560" s="618"/>
      <c r="H560" s="618"/>
      <c r="I560" s="621"/>
      <c r="J560" s="621"/>
      <c r="K560" s="621"/>
      <c r="L560" s="621"/>
    </row>
    <row r="561" spans="1:12" ht="12.75">
      <c r="A561" s="618"/>
      <c r="B561" s="618"/>
      <c r="C561" s="618"/>
      <c r="D561" s="796"/>
      <c r="E561" s="618"/>
      <c r="F561" s="618"/>
      <c r="G561" s="618"/>
      <c r="H561" s="618"/>
      <c r="I561" s="621"/>
      <c r="J561" s="621"/>
      <c r="K561" s="621"/>
      <c r="L561" s="621"/>
    </row>
    <row r="562" spans="1:12" ht="15">
      <c r="A562" s="618"/>
      <c r="B562" s="618"/>
      <c r="C562" s="618"/>
      <c r="D562" s="796"/>
      <c r="E562" s="800" t="s">
        <v>147</v>
      </c>
      <c r="F562" s="618"/>
      <c r="G562" s="618"/>
      <c r="H562" s="618"/>
      <c r="I562" s="621"/>
      <c r="J562" s="621"/>
      <c r="K562" s="621"/>
      <c r="L562" s="621"/>
    </row>
    <row r="563" spans="1:12" ht="12.75">
      <c r="A563" s="798"/>
      <c r="B563" s="798"/>
      <c r="C563" s="798"/>
      <c r="D563" s="619"/>
      <c r="E563" s="798"/>
      <c r="F563" s="798"/>
      <c r="G563" s="799"/>
      <c r="H563" s="799"/>
      <c r="J563" s="621"/>
      <c r="K563" s="621"/>
      <c r="L563" s="621"/>
    </row>
    <row r="564" spans="1:12" ht="12.75">
      <c r="A564" s="618"/>
      <c r="B564" s="618"/>
      <c r="C564" s="618"/>
      <c r="D564" s="619" t="s">
        <v>1</v>
      </c>
      <c r="E564" s="618"/>
      <c r="F564" s="618"/>
      <c r="G564" s="620"/>
      <c r="H564" s="620"/>
      <c r="I564" s="621"/>
      <c r="J564" s="621"/>
      <c r="K564" s="621"/>
      <c r="L564" s="621"/>
    </row>
    <row r="565" spans="1:12" ht="25.5">
      <c r="A565" s="1787" t="s">
        <v>2</v>
      </c>
      <c r="B565" s="1787"/>
      <c r="C565" s="1787"/>
      <c r="D565" s="622" t="s">
        <v>3</v>
      </c>
      <c r="E565" s="623" t="s">
        <v>4</v>
      </c>
      <c r="F565" s="623" t="s">
        <v>5</v>
      </c>
      <c r="G565" s="624" t="s">
        <v>6</v>
      </c>
      <c r="H565" s="625" t="s">
        <v>56</v>
      </c>
      <c r="I565" s="626" t="s">
        <v>8</v>
      </c>
      <c r="J565" s="626" t="s">
        <v>9</v>
      </c>
      <c r="K565" s="627" t="s">
        <v>10</v>
      </c>
      <c r="L565" s="626" t="s">
        <v>11</v>
      </c>
    </row>
    <row r="566" spans="1:12" ht="12.75">
      <c r="A566" s="1787"/>
      <c r="B566" s="1787"/>
      <c r="C566" s="1787"/>
      <c r="D566" s="628"/>
      <c r="E566" s="629"/>
      <c r="F566" s="629"/>
      <c r="G566" s="630"/>
      <c r="H566" s="1803" t="s">
        <v>12</v>
      </c>
      <c r="I566" s="1803"/>
      <c r="J566" s="1803"/>
      <c r="K566" s="631"/>
      <c r="L566" s="632"/>
    </row>
    <row r="567" spans="1:12" ht="12.75" customHeight="1">
      <c r="A567" s="803"/>
      <c r="B567" s="803"/>
      <c r="C567" s="803"/>
      <c r="D567" s="207"/>
      <c r="E567" s="207"/>
      <c r="F567" s="207"/>
      <c r="G567" s="210"/>
      <c r="H567" s="210"/>
      <c r="I567" s="211"/>
      <c r="J567" s="211"/>
      <c r="K567" s="211"/>
      <c r="L567" s="211"/>
    </row>
    <row r="568" spans="1:12" ht="12.75">
      <c r="A568" s="634" t="s">
        <v>57</v>
      </c>
      <c r="B568" s="633">
        <v>0.3333333333333333</v>
      </c>
      <c r="C568" s="634"/>
      <c r="D568" s="207"/>
      <c r="E568" s="634"/>
      <c r="F568" s="634"/>
      <c r="G568" s="210"/>
      <c r="H568" s="210"/>
      <c r="I568" s="211"/>
      <c r="J568" s="211"/>
      <c r="K568" s="211"/>
      <c r="L568" s="211"/>
    </row>
    <row r="569" spans="1:12" ht="12.75">
      <c r="A569" s="1773" t="s">
        <v>148</v>
      </c>
      <c r="B569" s="1773"/>
      <c r="C569" s="1773"/>
      <c r="D569" s="20">
        <v>200</v>
      </c>
      <c r="E569" s="21"/>
      <c r="F569" s="21"/>
      <c r="G569" s="22"/>
      <c r="H569" s="23">
        <f>H570+H571+H573+H572</f>
        <v>14.479999999999999</v>
      </c>
      <c r="I569" s="24">
        <f>SUM(I570:I573)</f>
        <v>6.459999999999999</v>
      </c>
      <c r="J569" s="23">
        <f>SUM(J570:J573)</f>
        <v>7.575</v>
      </c>
      <c r="K569" s="846">
        <f>SUM(K570:K573)</f>
        <v>25.381999999999998</v>
      </c>
      <c r="L569" s="1035">
        <f>SUM(L570:L573)</f>
        <v>204.86</v>
      </c>
    </row>
    <row r="570" spans="1:12" ht="12.75">
      <c r="A570" s="27" t="s">
        <v>15</v>
      </c>
      <c r="B570" s="28"/>
      <c r="C570" s="28"/>
      <c r="D570" s="29"/>
      <c r="E570" s="30">
        <v>0.02</v>
      </c>
      <c r="F570" s="31">
        <v>20</v>
      </c>
      <c r="G570" s="32">
        <v>91</v>
      </c>
      <c r="H570" s="33">
        <f>E570*G570</f>
        <v>1.82</v>
      </c>
      <c r="I570" s="34">
        <f>(E570*10.3)/0.1</f>
        <v>2.06</v>
      </c>
      <c r="J570" s="35">
        <f>(F570*1)/100</f>
        <v>0.2</v>
      </c>
      <c r="K570" s="35">
        <f>(F570*70.6)/100</f>
        <v>14.12</v>
      </c>
      <c r="L570" s="36">
        <f>(F570*329)/100</f>
        <v>65.8</v>
      </c>
    </row>
    <row r="571" spans="1:12" ht="12.75">
      <c r="A571" s="37" t="s">
        <v>16</v>
      </c>
      <c r="B571" s="38"/>
      <c r="C571" s="39"/>
      <c r="D571" s="40"/>
      <c r="E571" s="41">
        <v>0.005</v>
      </c>
      <c r="F571" s="42">
        <v>5</v>
      </c>
      <c r="G571" s="43">
        <v>300</v>
      </c>
      <c r="H571" s="44">
        <f>E571*G571</f>
        <v>1.5</v>
      </c>
      <c r="I571" s="45">
        <f>(F571*1)/100</f>
        <v>0.05</v>
      </c>
      <c r="J571" s="45">
        <f>(F571*72.5)/100</f>
        <v>3.625</v>
      </c>
      <c r="K571" s="45">
        <f>(F571*1.4)/100</f>
        <v>0.07</v>
      </c>
      <c r="L571" s="46">
        <f>(F571*662)/100</f>
        <v>33.1</v>
      </c>
    </row>
    <row r="572" spans="1:12" ht="12.75">
      <c r="A572" s="217" t="s">
        <v>17</v>
      </c>
      <c r="B572" s="218"/>
      <c r="C572" s="398"/>
      <c r="D572" s="71"/>
      <c r="E572" s="448">
        <v>0.004</v>
      </c>
      <c r="F572" s="449">
        <v>4</v>
      </c>
      <c r="G572" s="447">
        <v>90</v>
      </c>
      <c r="H572" s="447">
        <f>E572*G572</f>
        <v>0.36</v>
      </c>
      <c r="I572" s="80"/>
      <c r="J572" s="80"/>
      <c r="K572" s="80">
        <f>(F572*99.8)/100</f>
        <v>3.992</v>
      </c>
      <c r="L572" s="81">
        <f>(F572*399)/100</f>
        <v>15.96</v>
      </c>
    </row>
    <row r="573" spans="1:12" ht="12.75">
      <c r="A573" s="56" t="s">
        <v>18</v>
      </c>
      <c r="B573" s="57"/>
      <c r="C573" s="57"/>
      <c r="D573" s="1036"/>
      <c r="E573" s="59">
        <v>0.15</v>
      </c>
      <c r="F573" s="60">
        <v>150</v>
      </c>
      <c r="G573" s="61">
        <v>72</v>
      </c>
      <c r="H573" s="62">
        <f>E573*G573</f>
        <v>10.799999999999999</v>
      </c>
      <c r="I573" s="63">
        <f>(2.9*F573)/100</f>
        <v>4.35</v>
      </c>
      <c r="J573" s="63">
        <f>(F573*2.5)/100</f>
        <v>3.75</v>
      </c>
      <c r="K573" s="63">
        <f>(4.8*F573)/100</f>
        <v>7.2</v>
      </c>
      <c r="L573" s="64">
        <f>(F573*60)/100</f>
        <v>90</v>
      </c>
    </row>
    <row r="574" spans="1:12" ht="12.75">
      <c r="A574" s="1776" t="s">
        <v>149</v>
      </c>
      <c r="B574" s="1776"/>
      <c r="C574" s="1776"/>
      <c r="D574" s="829">
        <v>200</v>
      </c>
      <c r="E574" s="331"/>
      <c r="F574" s="331"/>
      <c r="G574" s="105"/>
      <c r="H574" s="106">
        <f>H575+H576+H577</f>
        <v>17.01</v>
      </c>
      <c r="I574" s="107">
        <f>SUM(I575:I577)</f>
        <v>5.8</v>
      </c>
      <c r="J574" s="107">
        <f>SUM(J575:J577)</f>
        <v>5</v>
      </c>
      <c r="K574" s="107">
        <f>SUM(K575:K577)</f>
        <v>24.57</v>
      </c>
      <c r="L574" s="108">
        <f>SUM(L575:L577)</f>
        <v>179.85</v>
      </c>
    </row>
    <row r="575" spans="1:12" ht="12.75">
      <c r="A575" s="1037" t="s">
        <v>150</v>
      </c>
      <c r="B575" s="264"/>
      <c r="C575" s="266"/>
      <c r="D575" s="1038"/>
      <c r="E575" s="1039">
        <v>0.002</v>
      </c>
      <c r="F575" s="1040">
        <v>2</v>
      </c>
      <c r="G575" s="1041">
        <v>630</v>
      </c>
      <c r="H575" s="1041">
        <f>E575*G575</f>
        <v>1.26</v>
      </c>
      <c r="I575" s="54"/>
      <c r="J575" s="643"/>
      <c r="K575" s="643"/>
      <c r="L575" s="644"/>
    </row>
    <row r="576" spans="1:12" ht="12.75">
      <c r="A576" s="318" t="s">
        <v>17</v>
      </c>
      <c r="B576" s="319"/>
      <c r="C576" s="1042"/>
      <c r="D576" s="1043"/>
      <c r="E576" s="271">
        <v>0.015</v>
      </c>
      <c r="F576" s="272">
        <v>15</v>
      </c>
      <c r="G576" s="507">
        <v>90</v>
      </c>
      <c r="H576" s="507">
        <f>E576*G576</f>
        <v>1.3499999999999999</v>
      </c>
      <c r="I576" s="54"/>
      <c r="J576" s="54"/>
      <c r="K576" s="54">
        <f>(F576*99.8)/100</f>
        <v>14.97</v>
      </c>
      <c r="L576" s="55">
        <f>(F576*399)/100</f>
        <v>59.85</v>
      </c>
    </row>
    <row r="577" spans="1:12" ht="12.75">
      <c r="A577" s="1707" t="s">
        <v>18</v>
      </c>
      <c r="B577" s="1708"/>
      <c r="C577" s="1709"/>
      <c r="D577" s="1710"/>
      <c r="E577" s="1711">
        <v>0.2</v>
      </c>
      <c r="F577" s="1712">
        <v>200</v>
      </c>
      <c r="G577" s="1713">
        <v>72</v>
      </c>
      <c r="H577" s="1714">
        <f>E577*G577</f>
        <v>14.4</v>
      </c>
      <c r="I577" s="1715">
        <f>(2.9*F577)/100</f>
        <v>5.8</v>
      </c>
      <c r="J577" s="1715">
        <f>(F577*2.5)/100</f>
        <v>5</v>
      </c>
      <c r="K577" s="1715">
        <f>(4.8*F577)/100</f>
        <v>9.6</v>
      </c>
      <c r="L577" s="1716">
        <f>(F577*60)/100</f>
        <v>120</v>
      </c>
    </row>
    <row r="578" spans="1:12" ht="12.75">
      <c r="A578" s="1774" t="s">
        <v>93</v>
      </c>
      <c r="B578" s="1774"/>
      <c r="C578" s="1774"/>
      <c r="D578" s="645" t="s">
        <v>94</v>
      </c>
      <c r="E578" s="235"/>
      <c r="F578" s="236"/>
      <c r="G578" s="137"/>
      <c r="H578" s="138">
        <f>H579+H581+H580</f>
        <v>3.9899999999999998</v>
      </c>
      <c r="I578" s="139">
        <f>SUM(I579:I581)</f>
        <v>2.25</v>
      </c>
      <c r="J578" s="139">
        <f>SUM(J579:J581)</f>
        <v>2.94</v>
      </c>
      <c r="K578" s="139">
        <f>SUM(K579:K581)</f>
        <v>22.32</v>
      </c>
      <c r="L578" s="140">
        <f>SUM(L579:L581)</f>
        <v>125.1</v>
      </c>
    </row>
    <row r="579" spans="1:12" ht="12.75">
      <c r="A579" s="1788" t="s">
        <v>93</v>
      </c>
      <c r="B579" s="1788"/>
      <c r="C579" s="1788"/>
      <c r="D579" s="646"/>
      <c r="E579" s="647">
        <v>0.03</v>
      </c>
      <c r="F579" s="648">
        <v>30</v>
      </c>
      <c r="G579" s="91">
        <v>133</v>
      </c>
      <c r="H579" s="91">
        <f>E579*G579</f>
        <v>3.9899999999999998</v>
      </c>
      <c r="I579" s="93">
        <v>2.25</v>
      </c>
      <c r="J579" s="93">
        <v>2.94</v>
      </c>
      <c r="K579" s="93">
        <v>22.32</v>
      </c>
      <c r="L579" s="94">
        <v>125.1</v>
      </c>
    </row>
    <row r="580" spans="1:12" ht="12.75">
      <c r="A580" s="457"/>
      <c r="B580" s="458"/>
      <c r="C580" s="458"/>
      <c r="D580" s="459"/>
      <c r="E580" s="460"/>
      <c r="F580" s="461"/>
      <c r="G580" s="461"/>
      <c r="H580" s="461"/>
      <c r="I580" s="461"/>
      <c r="J580" s="461"/>
      <c r="K580" s="461"/>
      <c r="L580" s="462"/>
    </row>
    <row r="581" ht="12.75">
      <c r="D581" s="4"/>
    </row>
    <row r="582" spans="1:12" ht="12.75">
      <c r="A582" s="56"/>
      <c r="B582" s="57"/>
      <c r="C582" s="57"/>
      <c r="D582" s="208"/>
      <c r="E582" s="208"/>
      <c r="F582" s="208"/>
      <c r="G582" s="209"/>
      <c r="H582" s="209"/>
      <c r="I582" s="223"/>
      <c r="J582" s="223"/>
      <c r="K582" s="223"/>
      <c r="L582" s="732"/>
    </row>
    <row r="583" spans="1:12" ht="15.75">
      <c r="A583" s="656" t="s">
        <v>23</v>
      </c>
      <c r="B583" s="657"/>
      <c r="C583" s="657"/>
      <c r="D583" s="658"/>
      <c r="E583" s="659"/>
      <c r="F583" s="658"/>
      <c r="G583" s="660"/>
      <c r="H583" s="660">
        <f>H569+H578+H574</f>
        <v>35.480000000000004</v>
      </c>
      <c r="I583" s="661"/>
      <c r="J583" s="661"/>
      <c r="K583" s="662"/>
      <c r="L583" s="663"/>
    </row>
    <row r="584" spans="1:12" ht="12.75">
      <c r="A584" s="664"/>
      <c r="B584" s="665" t="s">
        <v>24</v>
      </c>
      <c r="C584" s="666"/>
      <c r="D584" s="667"/>
      <c r="E584" s="668"/>
      <c r="F584" s="667"/>
      <c r="G584" s="669"/>
      <c r="H584" s="669"/>
      <c r="I584" s="684">
        <f>I578+I574+I569</f>
        <v>14.51</v>
      </c>
      <c r="J584" s="684">
        <f>J578+J574+J569</f>
        <v>15.515</v>
      </c>
      <c r="K584" s="896">
        <f>K578+K574+K569</f>
        <v>72.27199999999999</v>
      </c>
      <c r="L584" s="670">
        <f>L578+L574+L569</f>
        <v>509.81</v>
      </c>
    </row>
    <row r="585" spans="1:12" ht="12.75">
      <c r="A585" s="1804" t="s">
        <v>25</v>
      </c>
      <c r="B585" s="1804"/>
      <c r="C585" s="1804"/>
      <c r="D585" s="208"/>
      <c r="E585" s="208"/>
      <c r="F585" s="208"/>
      <c r="G585" s="209"/>
      <c r="H585" s="209"/>
      <c r="I585" s="211"/>
      <c r="J585" s="223"/>
      <c r="K585" s="673"/>
      <c r="L585" s="1044">
        <f>L584/1800</f>
        <v>0.2832277777777778</v>
      </c>
    </row>
    <row r="586" spans="1:12" ht="12.75">
      <c r="A586" s="1776" t="s">
        <v>26</v>
      </c>
      <c r="B586" s="1776"/>
      <c r="C586" s="1776"/>
      <c r="D586" s="103">
        <v>100</v>
      </c>
      <c r="E586" s="104"/>
      <c r="F586" s="104"/>
      <c r="G586" s="105"/>
      <c r="H586" s="106">
        <f>H587</f>
        <v>7</v>
      </c>
      <c r="I586" s="139"/>
      <c r="J586" s="140">
        <f>J587</f>
        <v>0</v>
      </c>
      <c r="K586" s="140">
        <f>K587</f>
        <v>10.1</v>
      </c>
      <c r="L586" s="140">
        <f>L587</f>
        <v>46</v>
      </c>
    </row>
    <row r="587" spans="1:12" ht="12.75">
      <c r="A587" s="1777"/>
      <c r="B587" s="1777"/>
      <c r="C587" s="1777"/>
      <c r="D587" s="109"/>
      <c r="E587" s="110">
        <v>0.1</v>
      </c>
      <c r="F587" s="111">
        <v>100</v>
      </c>
      <c r="G587" s="112">
        <v>70</v>
      </c>
      <c r="H587" s="113">
        <f>E587*G587</f>
        <v>7</v>
      </c>
      <c r="I587" s="143"/>
      <c r="J587" s="143"/>
      <c r="K587" s="143">
        <f>(10.1*F587)/100</f>
        <v>10.1</v>
      </c>
      <c r="L587" s="146">
        <f>(F587*46)/100</f>
        <v>46</v>
      </c>
    </row>
    <row r="588" spans="1:12" ht="15.75">
      <c r="A588" s="674" t="s">
        <v>27</v>
      </c>
      <c r="B588" s="675"/>
      <c r="C588" s="676"/>
      <c r="D588" s="677"/>
      <c r="E588" s="677"/>
      <c r="F588" s="677"/>
      <c r="G588" s="678"/>
      <c r="H588" s="679">
        <f>H586</f>
        <v>7</v>
      </c>
      <c r="I588" s="680"/>
      <c r="J588" s="680"/>
      <c r="K588" s="680"/>
      <c r="L588" s="897">
        <f>L586/1800</f>
        <v>0.025555555555555557</v>
      </c>
    </row>
    <row r="589" spans="1:12" ht="12.75">
      <c r="A589" s="682"/>
      <c r="B589" s="683" t="s">
        <v>24</v>
      </c>
      <c r="C589" s="683"/>
      <c r="D589" s="667"/>
      <c r="E589" s="667"/>
      <c r="F589" s="667"/>
      <c r="G589" s="669"/>
      <c r="H589" s="669"/>
      <c r="I589" s="685">
        <f>I586</f>
        <v>0</v>
      </c>
      <c r="J589" s="685">
        <f>J586</f>
        <v>0</v>
      </c>
      <c r="K589" s="685"/>
      <c r="L589" s="685"/>
    </row>
    <row r="590" spans="1:12" ht="12.75">
      <c r="A590" s="1045" t="s">
        <v>151</v>
      </c>
      <c r="B590" s="996"/>
      <c r="C590" s="823"/>
      <c r="D590" s="824"/>
      <c r="E590" s="824"/>
      <c r="F590" s="824"/>
      <c r="G590" s="825"/>
      <c r="H590" s="825"/>
      <c r="I590" s="826"/>
      <c r="J590" s="826"/>
      <c r="K590" s="827"/>
      <c r="L590" s="828"/>
    </row>
    <row r="591" spans="1:12" ht="12.75">
      <c r="A591" s="360"/>
      <c r="B591" s="572"/>
      <c r="C591" s="573"/>
      <c r="D591" s="574"/>
      <c r="E591" s="575"/>
      <c r="F591" s="574"/>
      <c r="G591" s="576"/>
      <c r="H591" s="576"/>
      <c r="I591" s="577"/>
      <c r="J591" s="577"/>
      <c r="K591" s="577"/>
      <c r="L591" s="577"/>
    </row>
    <row r="592" spans="1:12" ht="12.75">
      <c r="A592" s="578"/>
      <c r="B592" s="579"/>
      <c r="C592" s="580"/>
      <c r="D592" s="581"/>
      <c r="E592" s="582"/>
      <c r="F592" s="583"/>
      <c r="G592" s="584"/>
      <c r="H592" s="585"/>
      <c r="I592" s="45"/>
      <c r="J592" s="45"/>
      <c r="K592" s="45"/>
      <c r="L592" s="46"/>
    </row>
    <row r="593" spans="1:12" ht="12.75">
      <c r="A593" s="1791" t="s">
        <v>152</v>
      </c>
      <c r="B593" s="1791"/>
      <c r="C593" s="1791"/>
      <c r="D593" s="829">
        <v>250</v>
      </c>
      <c r="E593" s="693"/>
      <c r="F593" s="104"/>
      <c r="G593" s="105"/>
      <c r="H593" s="106">
        <f>SUM(H594:H602)</f>
        <v>17.118000000000002</v>
      </c>
      <c r="I593" s="577">
        <f>SUM(I594:I601)</f>
        <v>3.567</v>
      </c>
      <c r="J593" s="577">
        <f>SUM(J594:J601)</f>
        <v>8.379000000000001</v>
      </c>
      <c r="K593" s="577">
        <f>SUM(K594:K601)</f>
        <v>16.56</v>
      </c>
      <c r="L593" s="577">
        <f>SUM(L594:L601)</f>
        <v>168.73</v>
      </c>
    </row>
    <row r="594" spans="1:12" ht="33" customHeight="1">
      <c r="A594" s="340" t="s">
        <v>75</v>
      </c>
      <c r="B594" s="250"/>
      <c r="C594" s="250"/>
      <c r="D594" s="713"/>
      <c r="E594" s="190">
        <v>0.032</v>
      </c>
      <c r="F594" s="191">
        <v>24</v>
      </c>
      <c r="G594" s="192">
        <v>240</v>
      </c>
      <c r="H594" s="193"/>
      <c r="I594" s="495"/>
      <c r="J594" s="495">
        <f>(F594*16)/100</f>
        <v>3.84</v>
      </c>
      <c r="K594" s="495"/>
      <c r="L594" s="496">
        <f>(F594*190)/100</f>
        <v>45.6</v>
      </c>
    </row>
    <row r="595" spans="1:14" ht="12.75">
      <c r="A595" s="340" t="s">
        <v>16</v>
      </c>
      <c r="B595" s="493"/>
      <c r="C595" s="493"/>
      <c r="D595" s="832"/>
      <c r="E595" s="498">
        <v>0.003</v>
      </c>
      <c r="F595" s="435">
        <v>3</v>
      </c>
      <c r="G595" s="32">
        <v>300</v>
      </c>
      <c r="H595" s="33">
        <f>E595*G595</f>
        <v>0.9</v>
      </c>
      <c r="I595" s="45">
        <f>(F595*1)/100</f>
        <v>0.03</v>
      </c>
      <c r="J595" s="45">
        <f>(F595*72.5)/100</f>
        <v>2.175</v>
      </c>
      <c r="K595" s="45">
        <f>(F595*1.4)/100</f>
        <v>0.041999999999999996</v>
      </c>
      <c r="L595" s="46">
        <f>(F595*662)/100</f>
        <v>19.86</v>
      </c>
      <c r="N595" s="1046"/>
    </row>
    <row r="596" spans="1:26" ht="12.75" customHeight="1">
      <c r="A596" s="508" t="s">
        <v>72</v>
      </c>
      <c r="B596" s="509"/>
      <c r="C596" s="509"/>
      <c r="D596" s="833"/>
      <c r="E596" s="510">
        <v>0.01</v>
      </c>
      <c r="F596" s="511">
        <v>10</v>
      </c>
      <c r="G596" s="501">
        <v>156</v>
      </c>
      <c r="H596" s="501">
        <f>E596*G596</f>
        <v>1.56</v>
      </c>
      <c r="I596" s="834">
        <f>(2.5*F596)/100</f>
        <v>0.25</v>
      </c>
      <c r="J596" s="834">
        <f>(20*F596)/100</f>
        <v>2</v>
      </c>
      <c r="K596" s="834">
        <f>(3.4*F596)/100</f>
        <v>0.34</v>
      </c>
      <c r="L596" s="220">
        <f>(206*F596)/100</f>
        <v>20.6</v>
      </c>
      <c r="N596" s="286"/>
      <c r="O596" s="1047"/>
      <c r="P596" s="1047"/>
      <c r="Q596" s="1047"/>
      <c r="R596" s="207"/>
      <c r="S596" s="208"/>
      <c r="T596" s="208"/>
      <c r="U596" s="209"/>
      <c r="V596" s="210"/>
      <c r="W596" s="207"/>
      <c r="X596" s="207"/>
      <c r="Y596" s="207"/>
      <c r="Z596" s="207"/>
    </row>
    <row r="597" spans="1:26" ht="12.75">
      <c r="A597" s="340" t="s">
        <v>32</v>
      </c>
      <c r="B597" s="493"/>
      <c r="C597" s="493"/>
      <c r="D597" s="832"/>
      <c r="E597" s="835">
        <v>0.1</v>
      </c>
      <c r="F597" s="85">
        <v>60</v>
      </c>
      <c r="G597" s="535">
        <v>56</v>
      </c>
      <c r="H597" s="501">
        <f>E597*G597</f>
        <v>5.6000000000000005</v>
      </c>
      <c r="I597" s="213">
        <f>(F597*2)/100</f>
        <v>1.2</v>
      </c>
      <c r="J597" s="213">
        <f>(F597*0.4)/100</f>
        <v>0.24</v>
      </c>
      <c r="K597" s="213">
        <f>(F597*16.3)/100</f>
        <v>9.78</v>
      </c>
      <c r="L597" s="216">
        <f>(F597*77)/100</f>
        <v>46.2</v>
      </c>
      <c r="N597" s="286"/>
      <c r="O597" s="221"/>
      <c r="P597" s="57"/>
      <c r="Q597" s="57"/>
      <c r="R597" s="207"/>
      <c r="S597" s="222"/>
      <c r="T597" s="223"/>
      <c r="U597" s="209"/>
      <c r="V597" s="224"/>
      <c r="W597" s="152"/>
      <c r="X597" s="152"/>
      <c r="Y597" s="152"/>
      <c r="Z597" s="152"/>
    </row>
    <row r="598" spans="1:26" ht="12.75">
      <c r="A598" s="340" t="s">
        <v>97</v>
      </c>
      <c r="B598" s="493"/>
      <c r="C598" s="493"/>
      <c r="D598" s="832"/>
      <c r="E598" s="498">
        <v>0.127</v>
      </c>
      <c r="F598" s="435">
        <v>95</v>
      </c>
      <c r="G598" s="32">
        <v>56</v>
      </c>
      <c r="H598" s="33">
        <f>E598*G598</f>
        <v>7.112</v>
      </c>
      <c r="I598" s="85">
        <f>(1.8*F598)/100</f>
        <v>1.71</v>
      </c>
      <c r="J598" s="85">
        <f>(F598*0.1)/100</f>
        <v>0.095</v>
      </c>
      <c r="K598" s="85">
        <f>(F598*4.7)/100</f>
        <v>4.465</v>
      </c>
      <c r="L598" s="86">
        <f>(F598*28)/100</f>
        <v>26.6</v>
      </c>
      <c r="N598" s="286"/>
      <c r="O598" s="221"/>
      <c r="P598" s="57"/>
      <c r="Q598" s="57"/>
      <c r="R598" s="207"/>
      <c r="S598" s="222"/>
      <c r="T598" s="223"/>
      <c r="U598" s="209"/>
      <c r="V598" s="224"/>
      <c r="W598" s="233"/>
      <c r="X598" s="233"/>
      <c r="Y598" s="233"/>
      <c r="Z598" s="233"/>
    </row>
    <row r="599" spans="1:26" ht="12.75">
      <c r="A599" s="340" t="s">
        <v>33</v>
      </c>
      <c r="B599" s="341"/>
      <c r="C599" s="341"/>
      <c r="D599" s="520"/>
      <c r="E599" s="212">
        <v>0.01</v>
      </c>
      <c r="F599" s="213">
        <v>8</v>
      </c>
      <c r="G599" s="214">
        <v>63</v>
      </c>
      <c r="H599" s="215">
        <f>E599*G599</f>
        <v>0.63</v>
      </c>
      <c r="I599" s="213">
        <f>(F599*1.4)/100</f>
        <v>0.11199999999999999</v>
      </c>
      <c r="J599" s="213">
        <f>(F599*0.2)/100</f>
        <v>0.016</v>
      </c>
      <c r="K599" s="213">
        <f>(F599*8.2)/100</f>
        <v>0.6559999999999999</v>
      </c>
      <c r="L599" s="216">
        <f>(F599*41)/100</f>
        <v>3.28</v>
      </c>
      <c r="N599" s="286"/>
      <c r="O599" s="837"/>
      <c r="P599" s="837"/>
      <c r="Q599" s="837"/>
      <c r="R599" s="247"/>
      <c r="S599" s="838"/>
      <c r="T599" s="221"/>
      <c r="U599" s="224"/>
      <c r="V599" s="224"/>
      <c r="W599" s="237"/>
      <c r="X599" s="237"/>
      <c r="Y599" s="237"/>
      <c r="Z599" s="237"/>
    </row>
    <row r="600" spans="1:26" ht="12.75">
      <c r="A600" s="47" t="s">
        <v>78</v>
      </c>
      <c r="B600" s="48"/>
      <c r="C600" s="48"/>
      <c r="D600" s="1048"/>
      <c r="E600" s="51">
        <v>0.002</v>
      </c>
      <c r="F600" s="52">
        <v>2</v>
      </c>
      <c r="G600" s="53">
        <v>133</v>
      </c>
      <c r="H600" s="144">
        <f>G600*E600</f>
        <v>0.266</v>
      </c>
      <c r="I600" s="256">
        <f>(4.8*F600)/100</f>
        <v>0.096</v>
      </c>
      <c r="J600" s="256"/>
      <c r="K600" s="256">
        <f>(19*F600)/100</f>
        <v>0.38</v>
      </c>
      <c r="L600" s="532">
        <f>(102*F600)/100</f>
        <v>2.04</v>
      </c>
      <c r="N600" s="286"/>
      <c r="O600" s="837"/>
      <c r="P600" s="837"/>
      <c r="Q600" s="837"/>
      <c r="R600" s="247"/>
      <c r="S600" s="838"/>
      <c r="T600" s="221"/>
      <c r="U600" s="224"/>
      <c r="V600" s="224"/>
      <c r="W600" s="237"/>
      <c r="X600" s="237"/>
      <c r="Y600" s="237"/>
      <c r="Z600" s="237"/>
    </row>
    <row r="601" spans="1:26" ht="14.25" customHeight="1">
      <c r="A601" s="340" t="s">
        <v>34</v>
      </c>
      <c r="B601" s="341"/>
      <c r="C601" s="341"/>
      <c r="D601" s="836"/>
      <c r="E601" s="212">
        <v>0.015</v>
      </c>
      <c r="F601" s="213">
        <v>13</v>
      </c>
      <c r="G601" s="214">
        <v>70</v>
      </c>
      <c r="H601" s="215">
        <f>G601*E601</f>
        <v>1.05</v>
      </c>
      <c r="I601" s="213">
        <f>(F601*1.3)/100</f>
        <v>0.169</v>
      </c>
      <c r="J601" s="213">
        <f>(F601*0.1)/100</f>
        <v>0.013000000000000001</v>
      </c>
      <c r="K601" s="213">
        <f>(F601*6.9)/100</f>
        <v>0.897</v>
      </c>
      <c r="L601" s="220">
        <f>(F601*35)/100</f>
        <v>4.55</v>
      </c>
      <c r="N601" s="286"/>
      <c r="O601" s="837"/>
      <c r="P601" s="837"/>
      <c r="Q601" s="837"/>
      <c r="R601" s="247"/>
      <c r="S601" s="838"/>
      <c r="T601" s="221"/>
      <c r="U601" s="224"/>
      <c r="V601" s="224"/>
      <c r="W601" s="237"/>
      <c r="X601" s="237"/>
      <c r="Y601" s="237"/>
      <c r="Z601" s="237"/>
    </row>
    <row r="602" spans="1:26" ht="12.75">
      <c r="A602" s="566"/>
      <c r="B602" s="567"/>
      <c r="C602" s="567"/>
      <c r="D602" s="568"/>
      <c r="E602" s="1049"/>
      <c r="F602" s="442"/>
      <c r="G602" s="443"/>
      <c r="H602" s="443"/>
      <c r="I602" s="1050"/>
      <c r="J602" s="1050"/>
      <c r="K602" s="1050"/>
      <c r="L602" s="1051"/>
      <c r="N602" s="286"/>
      <c r="O602" s="837"/>
      <c r="P602" s="837"/>
      <c r="Q602" s="837"/>
      <c r="R602" s="247"/>
      <c r="S602" s="838"/>
      <c r="T602" s="221"/>
      <c r="U602" s="224"/>
      <c r="V602" s="224"/>
      <c r="W602" s="237"/>
      <c r="X602" s="237"/>
      <c r="Y602" s="237"/>
      <c r="Z602" s="237"/>
    </row>
    <row r="603" spans="1:26" ht="12.75">
      <c r="A603" s="1805" t="s">
        <v>153</v>
      </c>
      <c r="B603" s="1805"/>
      <c r="C603" s="1805"/>
      <c r="D603" s="135" t="s">
        <v>99</v>
      </c>
      <c r="E603" s="236"/>
      <c r="F603" s="513"/>
      <c r="G603" s="514"/>
      <c r="H603" s="106">
        <f>H604+H605+H606+H607+H608+H609+H610+H611+H612+H614+H615+H613</f>
        <v>42.11500000000001</v>
      </c>
      <c r="I603" s="108">
        <f>I604+I605+I606+I607+I608+I609+I610+I611+I612+I614+I615+I613</f>
        <v>14.858</v>
      </c>
      <c r="J603" s="108">
        <f>J604+J605+J606+J607+J608+J609+J610+J611+J612+J614+J615+J613</f>
        <v>16.107999999999997</v>
      </c>
      <c r="K603" s="108">
        <f>K604+K605+K606+K607+K608+K609+K610+K611+K612+K614+K615+K613</f>
        <v>10.461000000000002</v>
      </c>
      <c r="L603" s="108">
        <f>L604+L605+L606+L607+L608+L609+L610+L611+L612+L614+L615+L613</f>
        <v>247.77000000000004</v>
      </c>
      <c r="N603" s="19"/>
      <c r="O603" s="221"/>
      <c r="P603" s="57"/>
      <c r="Q603" s="57"/>
      <c r="R603" s="207"/>
      <c r="S603" s="222"/>
      <c r="T603" s="223"/>
      <c r="U603" s="209"/>
      <c r="V603" s="224"/>
      <c r="W603" s="223"/>
      <c r="X603" s="223"/>
      <c r="Y603" s="223"/>
      <c r="Z603" s="223"/>
    </row>
    <row r="604" spans="1:26" ht="12.75">
      <c r="A604" s="589" t="s">
        <v>36</v>
      </c>
      <c r="B604" s="590"/>
      <c r="C604" s="590"/>
      <c r="D604" s="720"/>
      <c r="E604" s="721">
        <v>0.065</v>
      </c>
      <c r="F604" s="722">
        <v>60</v>
      </c>
      <c r="G604" s="144">
        <v>530</v>
      </c>
      <c r="H604" s="97">
        <f aca="true" t="shared" si="3" ref="H604:H611">E604*G604</f>
        <v>34.45</v>
      </c>
      <c r="I604" s="723">
        <f>(18.6*F604)/100</f>
        <v>11.16</v>
      </c>
      <c r="J604" s="723">
        <f>(16*F604)/100</f>
        <v>9.6</v>
      </c>
      <c r="K604" s="723"/>
      <c r="L604" s="724">
        <f>(218*F604)/100</f>
        <v>130.8</v>
      </c>
      <c r="N604" s="286"/>
      <c r="O604" s="221"/>
      <c r="P604" s="221"/>
      <c r="Q604" s="221"/>
      <c r="R604" s="247"/>
      <c r="S604" s="1052"/>
      <c r="T604" s="57"/>
      <c r="U604" s="209"/>
      <c r="V604" s="209"/>
      <c r="W604" s="207"/>
      <c r="X604" s="207"/>
      <c r="Y604" s="207"/>
      <c r="Z604" s="207"/>
    </row>
    <row r="605" spans="1:14" ht="12.75">
      <c r="A605" s="217" t="s">
        <v>33</v>
      </c>
      <c r="B605" s="218"/>
      <c r="C605" s="218"/>
      <c r="D605" s="219"/>
      <c r="E605" s="77">
        <v>0.01</v>
      </c>
      <c r="F605" s="80">
        <v>8</v>
      </c>
      <c r="G605" s="32">
        <v>63</v>
      </c>
      <c r="H605" s="33">
        <f t="shared" si="3"/>
        <v>0.63</v>
      </c>
      <c r="I605" s="213">
        <f>(F605*1.4)/100</f>
        <v>0.11199999999999999</v>
      </c>
      <c r="J605" s="213">
        <f>(F605*0.2)/100</f>
        <v>0.016</v>
      </c>
      <c r="K605" s="213">
        <f>(F605*8.2)/100</f>
        <v>0.6559999999999999</v>
      </c>
      <c r="L605" s="216">
        <f>(F605*41)/100</f>
        <v>3.28</v>
      </c>
      <c r="N605" s="286"/>
    </row>
    <row r="606" spans="1:14" ht="12.75">
      <c r="A606" s="217" t="s">
        <v>42</v>
      </c>
      <c r="B606" s="218"/>
      <c r="C606" s="218"/>
      <c r="D606" s="219"/>
      <c r="E606" s="77">
        <v>0.01</v>
      </c>
      <c r="F606" s="80">
        <v>10</v>
      </c>
      <c r="G606" s="79">
        <v>64</v>
      </c>
      <c r="H606" s="79">
        <f t="shared" si="3"/>
        <v>0.64</v>
      </c>
      <c r="I606" s="455">
        <f>(F606*8)/100</f>
        <v>0.8</v>
      </c>
      <c r="J606" s="455">
        <f>(F606*1)/100</f>
        <v>0.1</v>
      </c>
      <c r="K606" s="455">
        <f>(F606*49.1)/100</f>
        <v>4.91</v>
      </c>
      <c r="L606" s="456">
        <f>(F606*238)/100</f>
        <v>23.8</v>
      </c>
      <c r="N606" s="286"/>
    </row>
    <row r="607" spans="1:14" ht="12.75">
      <c r="A607" s="217" t="s">
        <v>37</v>
      </c>
      <c r="B607" s="218"/>
      <c r="C607" s="218"/>
      <c r="D607" s="219"/>
      <c r="E607" s="77">
        <v>0.003</v>
      </c>
      <c r="F607" s="80">
        <v>3</v>
      </c>
      <c r="G607" s="53">
        <v>129</v>
      </c>
      <c r="H607" s="97">
        <f t="shared" si="3"/>
        <v>0.387</v>
      </c>
      <c r="I607" s="521"/>
      <c r="J607" s="455">
        <f>(F607*99.9)/100</f>
        <v>2.9970000000000003</v>
      </c>
      <c r="K607" s="80"/>
      <c r="L607" s="522">
        <f>(F607*899)/100</f>
        <v>26.97</v>
      </c>
      <c r="N607" s="286"/>
    </row>
    <row r="608" spans="1:14" ht="12.75">
      <c r="A608" s="429" t="s">
        <v>76</v>
      </c>
      <c r="B608" s="430"/>
      <c r="C608" s="430"/>
      <c r="D608" s="520"/>
      <c r="E608" s="212">
        <v>0.003</v>
      </c>
      <c r="F608" s="213">
        <v>3</v>
      </c>
      <c r="G608" s="53">
        <v>49</v>
      </c>
      <c r="H608" s="97">
        <f t="shared" si="3"/>
        <v>0.147</v>
      </c>
      <c r="I608" s="455">
        <f>(F608*10.8)/100</f>
        <v>0.32400000000000007</v>
      </c>
      <c r="J608" s="455">
        <f>(F608*1.3)/100</f>
        <v>0.03900000000000001</v>
      </c>
      <c r="K608" s="455">
        <f>(F608*69.9)/100</f>
        <v>2.097</v>
      </c>
      <c r="L608" s="456">
        <f>(F608*334)/100</f>
        <v>10.02</v>
      </c>
      <c r="N608" s="286"/>
    </row>
    <row r="609" spans="1:14" ht="12.75">
      <c r="A609" s="68" t="s">
        <v>46</v>
      </c>
      <c r="B609" s="70"/>
      <c r="C609" s="727"/>
      <c r="D609" s="728"/>
      <c r="E609" s="562">
        <v>0.008</v>
      </c>
      <c r="F609" s="564">
        <v>7</v>
      </c>
      <c r="G609" s="342">
        <v>230</v>
      </c>
      <c r="H609" s="729">
        <f t="shared" si="3"/>
        <v>1.84</v>
      </c>
      <c r="I609" s="455">
        <f>(12.7*F609)/100</f>
        <v>0.8889999999999999</v>
      </c>
      <c r="J609" s="455">
        <f>(F609*11.5)/100</f>
        <v>0.805</v>
      </c>
      <c r="K609" s="455">
        <f>(F609*0.7)/100</f>
        <v>0.049</v>
      </c>
      <c r="L609" s="456">
        <f>(157*F609)/100</f>
        <v>10.99</v>
      </c>
      <c r="N609" s="286"/>
    </row>
    <row r="610" spans="1:14" ht="12.75">
      <c r="A610" s="68" t="s">
        <v>18</v>
      </c>
      <c r="B610" s="69"/>
      <c r="C610" s="69"/>
      <c r="D610" s="289"/>
      <c r="E610" s="77">
        <v>0.02</v>
      </c>
      <c r="F610" s="78">
        <v>20</v>
      </c>
      <c r="G610" s="730">
        <v>72</v>
      </c>
      <c r="H610" s="97">
        <f t="shared" si="3"/>
        <v>1.44</v>
      </c>
      <c r="I610" s="731">
        <f>(2.9*F610)/100</f>
        <v>0.58</v>
      </c>
      <c r="J610" s="63">
        <f>(F610*2.5)/100</f>
        <v>0.5</v>
      </c>
      <c r="K610" s="63">
        <f>(4.8*F610)/100</f>
        <v>0.96</v>
      </c>
      <c r="L610" s="64">
        <f>(F610*60)/100</f>
        <v>12</v>
      </c>
      <c r="N610" s="286"/>
    </row>
    <row r="611" spans="1:14" ht="12.75">
      <c r="A611" s="68" t="s">
        <v>77</v>
      </c>
      <c r="B611" s="69"/>
      <c r="C611" s="69"/>
      <c r="D611" s="289"/>
      <c r="E611" s="77">
        <v>0.01</v>
      </c>
      <c r="F611" s="78">
        <v>8</v>
      </c>
      <c r="G611" s="214">
        <v>63</v>
      </c>
      <c r="H611" s="215">
        <f t="shared" si="3"/>
        <v>0.63</v>
      </c>
      <c r="I611" s="213">
        <f>(F611*1.4)/100</f>
        <v>0.11199999999999999</v>
      </c>
      <c r="J611" s="213">
        <f>(F611*0.2)/100</f>
        <v>0.016</v>
      </c>
      <c r="K611" s="213">
        <f>(F611*8.2)/100</f>
        <v>0.6559999999999999</v>
      </c>
      <c r="L611" s="216">
        <f>(F611*41)/100</f>
        <v>3.28</v>
      </c>
      <c r="N611" s="286"/>
    </row>
    <row r="612" spans="1:14" ht="12.75">
      <c r="A612" s="68" t="s">
        <v>34</v>
      </c>
      <c r="B612" s="69"/>
      <c r="C612" s="69"/>
      <c r="D612" s="289"/>
      <c r="E612" s="77">
        <v>0.015</v>
      </c>
      <c r="F612" s="78">
        <v>10</v>
      </c>
      <c r="G612" s="214">
        <v>56</v>
      </c>
      <c r="H612" s="215">
        <f>G612*E612</f>
        <v>0.84</v>
      </c>
      <c r="I612" s="213">
        <f>(F612*1.3)/100</f>
        <v>0.13</v>
      </c>
      <c r="J612" s="213">
        <f>(F612*0.1)/100</f>
        <v>0.01</v>
      </c>
      <c r="K612" s="213">
        <f>(F612*6.9)/100</f>
        <v>0.69</v>
      </c>
      <c r="L612" s="220">
        <f>(F612*35)/100</f>
        <v>3.5</v>
      </c>
      <c r="N612" s="286"/>
    </row>
    <row r="613" spans="1:14" ht="12.75">
      <c r="A613" s="340" t="s">
        <v>16</v>
      </c>
      <c r="B613" s="493"/>
      <c r="C613" s="493"/>
      <c r="D613" s="832"/>
      <c r="E613" s="498">
        <v>0.002</v>
      </c>
      <c r="F613" s="435">
        <v>2</v>
      </c>
      <c r="G613" s="32">
        <v>300</v>
      </c>
      <c r="H613" s="33">
        <f>E613*G613</f>
        <v>0.6</v>
      </c>
      <c r="I613" s="45">
        <f>(F613*1)/100</f>
        <v>0.02</v>
      </c>
      <c r="J613" s="45">
        <f>(F613*72.5)/100</f>
        <v>1.45</v>
      </c>
      <c r="K613" s="45">
        <f>(F613*1.4)/100</f>
        <v>0.027999999999999997</v>
      </c>
      <c r="L613" s="46">
        <f>(F613*662)/100</f>
        <v>13.24</v>
      </c>
      <c r="N613" s="286"/>
    </row>
    <row r="614" spans="1:14" ht="12.75">
      <c r="A614" s="68" t="s">
        <v>78</v>
      </c>
      <c r="B614" s="69"/>
      <c r="C614" s="69"/>
      <c r="D614" s="289"/>
      <c r="E614" s="77">
        <v>0.002</v>
      </c>
      <c r="F614" s="78">
        <v>2</v>
      </c>
      <c r="G614" s="507">
        <v>133</v>
      </c>
      <c r="H614" s="507">
        <f>E614*G614</f>
        <v>0.266</v>
      </c>
      <c r="I614" s="256">
        <f>(4.8*F614)/100</f>
        <v>0.096</v>
      </c>
      <c r="J614" s="256"/>
      <c r="K614" s="256">
        <f>(19*F614)/100</f>
        <v>0.38</v>
      </c>
      <c r="L614" s="532">
        <f>(102*F614)/100</f>
        <v>2.04</v>
      </c>
      <c r="N614" s="286"/>
    </row>
    <row r="615" spans="1:14" ht="12.75">
      <c r="A615" s="523" t="s">
        <v>76</v>
      </c>
      <c r="B615" s="524"/>
      <c r="C615" s="525"/>
      <c r="D615" s="526"/>
      <c r="E615" s="527">
        <v>0.005</v>
      </c>
      <c r="F615" s="528">
        <v>5</v>
      </c>
      <c r="G615" s="229">
        <v>49</v>
      </c>
      <c r="H615" s="529">
        <f>E615*G615</f>
        <v>0.245</v>
      </c>
      <c r="I615" s="530">
        <f>(12.7*F615)/100</f>
        <v>0.635</v>
      </c>
      <c r="J615" s="530">
        <f>(F615*11.5)/100</f>
        <v>0.575</v>
      </c>
      <c r="K615" s="530">
        <f>(F615*0.7)/100</f>
        <v>0.035</v>
      </c>
      <c r="L615" s="531">
        <f>(157*F615)/100</f>
        <v>7.85</v>
      </c>
      <c r="N615" s="286"/>
    </row>
    <row r="616" spans="1:14" ht="12.75">
      <c r="A616" s="1780" t="s">
        <v>154</v>
      </c>
      <c r="B616" s="1780"/>
      <c r="C616" s="1780"/>
      <c r="D616" s="281">
        <v>120</v>
      </c>
      <c r="E616" s="282"/>
      <c r="F616" s="282"/>
      <c r="G616" s="283"/>
      <c r="H616" s="284">
        <f>H617+H618</f>
        <v>5.220000000000001</v>
      </c>
      <c r="I616" s="285">
        <f>SUM(I617:I618)</f>
        <v>4.45</v>
      </c>
      <c r="J616" s="285">
        <f>SUM(J617:J618)</f>
        <v>4.145</v>
      </c>
      <c r="K616" s="285">
        <f>SUM(K617:K618)</f>
        <v>27.91</v>
      </c>
      <c r="L616" s="285">
        <f>SUM(L617:L618)</f>
        <v>168.29999999999998</v>
      </c>
      <c r="N616" s="286"/>
    </row>
    <row r="617" spans="1:14" ht="12.75">
      <c r="A617" s="340" t="s">
        <v>92</v>
      </c>
      <c r="B617" s="341"/>
      <c r="C617" s="341"/>
      <c r="D617" s="517"/>
      <c r="E617" s="533">
        <v>0.04</v>
      </c>
      <c r="F617" s="534">
        <v>40</v>
      </c>
      <c r="G617" s="535">
        <v>93</v>
      </c>
      <c r="H617" s="535">
        <f>E617*G617</f>
        <v>3.72</v>
      </c>
      <c r="I617" s="85">
        <f>(11*F617)/100</f>
        <v>4.4</v>
      </c>
      <c r="J617" s="85">
        <f>(1.3*F617)/100</f>
        <v>0.52</v>
      </c>
      <c r="K617" s="85">
        <f>(69.6*F617)/100</f>
        <v>27.84</v>
      </c>
      <c r="L617" s="86">
        <f>(338*F617)/100</f>
        <v>135.2</v>
      </c>
      <c r="N617" s="286"/>
    </row>
    <row r="618" spans="1:14" ht="12.75">
      <c r="A618" s="68" t="s">
        <v>16</v>
      </c>
      <c r="B618" s="341"/>
      <c r="C618" s="341"/>
      <c r="D618" s="517"/>
      <c r="E618" s="536">
        <v>0.005</v>
      </c>
      <c r="F618" s="537">
        <v>5</v>
      </c>
      <c r="G618" s="79">
        <v>300</v>
      </c>
      <c r="H618" s="290">
        <f>G618*E618</f>
        <v>1.5</v>
      </c>
      <c r="I618" s="45">
        <f>(F618*1)/100</f>
        <v>0.05</v>
      </c>
      <c r="J618" s="45">
        <f>(F618*72.5)/100</f>
        <v>3.625</v>
      </c>
      <c r="K618" s="45">
        <f>(F618*1.4)/100</f>
        <v>0.07</v>
      </c>
      <c r="L618" s="46">
        <f>(F618*662)/100</f>
        <v>33.1</v>
      </c>
      <c r="N618" s="286"/>
    </row>
    <row r="619" spans="1:14" ht="12.75">
      <c r="A619" s="1776" t="s">
        <v>155</v>
      </c>
      <c r="B619" s="1776"/>
      <c r="C619" s="1776"/>
      <c r="D619" s="103">
        <v>200</v>
      </c>
      <c r="E619" s="331"/>
      <c r="F619" s="331"/>
      <c r="G619" s="105"/>
      <c r="H619" s="106">
        <f>H620+H621</f>
        <v>4.05</v>
      </c>
      <c r="I619" s="108">
        <f>I620+I621</f>
        <v>0.24</v>
      </c>
      <c r="J619" s="108">
        <f>J620+J621</f>
        <v>0.10500000000000002</v>
      </c>
      <c r="K619" s="108">
        <f>K620+K621</f>
        <v>18.330000000000002</v>
      </c>
      <c r="L619" s="108">
        <f>L620+L621</f>
        <v>76.2</v>
      </c>
      <c r="M619" s="26"/>
      <c r="N619" s="206"/>
    </row>
    <row r="620" spans="1:14" ht="12.75">
      <c r="A620" s="538" t="s">
        <v>82</v>
      </c>
      <c r="B620" s="539"/>
      <c r="C620" s="540"/>
      <c r="D620" s="541"/>
      <c r="E620" s="261">
        <v>0.015</v>
      </c>
      <c r="F620" s="262">
        <v>15</v>
      </c>
      <c r="G620" s="112">
        <v>180</v>
      </c>
      <c r="H620" s="113">
        <f>E620*G620</f>
        <v>2.6999999999999997</v>
      </c>
      <c r="I620" s="111">
        <f>(F620*1.6)/100</f>
        <v>0.24</v>
      </c>
      <c r="J620" s="111">
        <f>(0.7*F620)/100</f>
        <v>0.10500000000000002</v>
      </c>
      <c r="K620" s="111">
        <f>(22.4*F620)/100</f>
        <v>3.36</v>
      </c>
      <c r="L620" s="263">
        <f>(109*F620)/100</f>
        <v>16.35</v>
      </c>
      <c r="M620" s="26"/>
      <c r="N620" s="221"/>
    </row>
    <row r="621" spans="1:14" ht="12.75">
      <c r="A621" s="248" t="s">
        <v>17</v>
      </c>
      <c r="B621" s="250"/>
      <c r="C621" s="1053"/>
      <c r="D621" s="1054"/>
      <c r="E621" s="252">
        <v>0.015</v>
      </c>
      <c r="F621" s="253">
        <v>15</v>
      </c>
      <c r="G621" s="254">
        <v>90</v>
      </c>
      <c r="H621" s="255">
        <f>E621*G621</f>
        <v>1.3499999999999999</v>
      </c>
      <c r="I621" s="54"/>
      <c r="J621" s="54"/>
      <c r="K621" s="54">
        <f>(F621*99.8)/100</f>
        <v>14.97</v>
      </c>
      <c r="L621" s="55">
        <f>(F621*399)/100</f>
        <v>59.85</v>
      </c>
      <c r="N621" s="221"/>
    </row>
    <row r="622" spans="1:14" ht="12.75">
      <c r="A622" s="1773" t="s">
        <v>41</v>
      </c>
      <c r="B622" s="1773"/>
      <c r="C622" s="1773"/>
      <c r="D622" s="20">
        <v>50</v>
      </c>
      <c r="E622" s="66">
        <v>0.05</v>
      </c>
      <c r="F622" s="21">
        <v>50</v>
      </c>
      <c r="G622" s="22">
        <v>35</v>
      </c>
      <c r="H622" s="23">
        <f>E622*G622</f>
        <v>1.75</v>
      </c>
      <c r="I622" s="294">
        <f>(6.6*F622)/100</f>
        <v>3.3</v>
      </c>
      <c r="J622" s="294">
        <f>(1.2*F622)/100</f>
        <v>0.6</v>
      </c>
      <c r="K622" s="294">
        <f>(33.4*F622)/100</f>
        <v>16.7</v>
      </c>
      <c r="L622" s="67">
        <f>(174*F622)/100</f>
        <v>87</v>
      </c>
      <c r="N622" s="221"/>
    </row>
    <row r="623" spans="1:14" ht="12.75">
      <c r="A623" s="1773" t="s">
        <v>48</v>
      </c>
      <c r="B623" s="1773"/>
      <c r="C623" s="1773"/>
      <c r="D623" s="20">
        <v>30</v>
      </c>
      <c r="E623" s="312">
        <v>0.03</v>
      </c>
      <c r="F623" s="282">
        <v>30</v>
      </c>
      <c r="G623" s="283">
        <v>64</v>
      </c>
      <c r="H623" s="284">
        <f>E623*G623</f>
        <v>1.92</v>
      </c>
      <c r="I623" s="530">
        <f>(F623*8)/100</f>
        <v>2.4</v>
      </c>
      <c r="J623" s="530">
        <f>(F623*1)/100</f>
        <v>0.3</v>
      </c>
      <c r="K623" s="530">
        <f>(F623*49.1)/100</f>
        <v>14.73</v>
      </c>
      <c r="L623" s="531">
        <f>(F623*238)/100</f>
        <v>71.4</v>
      </c>
      <c r="N623" s="345"/>
    </row>
    <row r="624" spans="1:14" ht="12.75">
      <c r="A624" s="1806"/>
      <c r="B624" s="1806"/>
      <c r="C624" s="1806"/>
      <c r="D624" s="16"/>
      <c r="E624" s="28"/>
      <c r="F624" s="28"/>
      <c r="G624" s="150"/>
      <c r="H624" s="17"/>
      <c r="I624" s="133"/>
      <c r="J624" s="133"/>
      <c r="K624" s="133"/>
      <c r="L624" s="133"/>
      <c r="N624" s="345"/>
    </row>
    <row r="625" spans="1:14" ht="15.75">
      <c r="A625" s="770" t="s">
        <v>156</v>
      </c>
      <c r="B625" s="57"/>
      <c r="C625" s="57"/>
      <c r="D625" s="208"/>
      <c r="E625" s="57"/>
      <c r="F625" s="57"/>
      <c r="G625" s="209"/>
      <c r="H625" s="660">
        <f>H623+H622+H619+H616+H603+H593</f>
        <v>72.173</v>
      </c>
      <c r="I625" s="223"/>
      <c r="J625" s="223"/>
      <c r="K625" s="223"/>
      <c r="L625" s="223"/>
      <c r="N625" s="345"/>
    </row>
    <row r="626" spans="1:14" ht="12.75">
      <c r="A626" s="266"/>
      <c r="B626" s="266"/>
      <c r="C626" s="266"/>
      <c r="D626" s="831"/>
      <c r="E626" s="266"/>
      <c r="F626" s="266"/>
      <c r="G626" s="267"/>
      <c r="H626" s="267"/>
      <c r="I626" s="268"/>
      <c r="J626" s="268"/>
      <c r="K626" s="268"/>
      <c r="L626" s="268"/>
      <c r="M626" s="345"/>
      <c r="N626" s="345"/>
    </row>
    <row r="627" spans="1:15" ht="12.75">
      <c r="A627" s="1055" t="s">
        <v>24</v>
      </c>
      <c r="B627" s="1055"/>
      <c r="C627" s="1055"/>
      <c r="D627" s="1056"/>
      <c r="E627" s="1055"/>
      <c r="F627" s="1055"/>
      <c r="G627" s="1057"/>
      <c r="H627" s="1057"/>
      <c r="I627" s="1058">
        <f>I623+I622+I619+I616+I603+I593</f>
        <v>28.815</v>
      </c>
      <c r="J627" s="1058">
        <f>J623+J622+J619+J616+J603+J593</f>
        <v>29.636999999999997</v>
      </c>
      <c r="K627" s="1058">
        <f>K623+K622+K619+K616+K603+K593</f>
        <v>104.691</v>
      </c>
      <c r="L627" s="1058">
        <f>L623+L622+L619+L616+L603+L593</f>
        <v>819.4000000000001</v>
      </c>
      <c r="N627" s="345"/>
      <c r="O627" s="345"/>
    </row>
    <row r="628" spans="1:14" ht="12.75">
      <c r="A628" s="634" t="s">
        <v>44</v>
      </c>
      <c r="B628" s="57"/>
      <c r="C628" s="633">
        <v>0.6458333333333334</v>
      </c>
      <c r="D628" s="208"/>
      <c r="E628" s="57"/>
      <c r="F628" s="57"/>
      <c r="G628" s="57"/>
      <c r="H628" s="57"/>
      <c r="I628" s="211"/>
      <c r="J628" s="211"/>
      <c r="K628" s="209"/>
      <c r="L628" s="1059">
        <f>L627/1800</f>
        <v>0.45522222222222225</v>
      </c>
      <c r="N628" s="278"/>
    </row>
    <row r="629" spans="1:14" ht="12.75">
      <c r="A629" s="1780" t="s">
        <v>157</v>
      </c>
      <c r="B629" s="1780"/>
      <c r="C629" s="1780"/>
      <c r="D629" s="556">
        <v>120</v>
      </c>
      <c r="E629" s="282"/>
      <c r="F629" s="282"/>
      <c r="G629" s="283"/>
      <c r="H629" s="284">
        <f>SUM(H630:H638)</f>
        <v>26.642</v>
      </c>
      <c r="I629" s="285">
        <f>SUM(I630:I637)</f>
        <v>18.076999999999998</v>
      </c>
      <c r="J629" s="285">
        <f>SUM(J630:J637)</f>
        <v>16.566</v>
      </c>
      <c r="K629" s="285">
        <f>SUM(K630:K637)</f>
        <v>17.763</v>
      </c>
      <c r="L629" s="285">
        <f>SUM(L630:L637)</f>
        <v>294.37</v>
      </c>
      <c r="N629" s="206"/>
    </row>
    <row r="630" spans="1:25" ht="12.75">
      <c r="A630" s="557" t="s">
        <v>18</v>
      </c>
      <c r="B630" s="558"/>
      <c r="C630" s="558"/>
      <c r="D630" s="559"/>
      <c r="E630" s="454">
        <v>0.03</v>
      </c>
      <c r="F630" s="73">
        <v>30</v>
      </c>
      <c r="G630" s="78">
        <v>72</v>
      </c>
      <c r="H630" s="1060">
        <f>G630*E630</f>
        <v>2.16</v>
      </c>
      <c r="I630" s="916">
        <f>(2.9*F630)/100</f>
        <v>0.87</v>
      </c>
      <c r="J630" s="916">
        <f>(F630*2.5)/100</f>
        <v>0.75</v>
      </c>
      <c r="K630" s="916">
        <f>(4.8*F630)/100</f>
        <v>1.44</v>
      </c>
      <c r="L630" s="917">
        <f>(F630*60)/100</f>
        <v>18</v>
      </c>
      <c r="N630" s="221"/>
      <c r="O630" s="206"/>
      <c r="P630" s="206"/>
      <c r="Q630" s="207"/>
      <c r="R630" s="57"/>
      <c r="S630" s="57"/>
      <c r="T630" s="209"/>
      <c r="U630" s="210"/>
      <c r="V630" s="211"/>
      <c r="W630" s="211"/>
      <c r="X630" s="211"/>
      <c r="Y630" s="211"/>
    </row>
    <row r="631" spans="1:25" ht="12.75">
      <c r="A631" s="340" t="s">
        <v>37</v>
      </c>
      <c r="B631" s="341"/>
      <c r="C631" s="341"/>
      <c r="D631" s="517"/>
      <c r="E631" s="448">
        <v>0.004</v>
      </c>
      <c r="F631" s="560">
        <v>4</v>
      </c>
      <c r="G631" s="447">
        <v>129</v>
      </c>
      <c r="H631" s="200">
        <f>E631*G631</f>
        <v>0.516</v>
      </c>
      <c r="I631" s="455"/>
      <c r="J631" s="455">
        <f>(F631*99.9)/100</f>
        <v>3.9960000000000004</v>
      </c>
      <c r="K631" s="455"/>
      <c r="L631" s="910">
        <f>(F631*899)/100</f>
        <v>35.96</v>
      </c>
      <c r="N631" s="221"/>
      <c r="O631" s="221"/>
      <c r="P631" s="221"/>
      <c r="Q631" s="247"/>
      <c r="R631" s="270"/>
      <c r="S631" s="28"/>
      <c r="T631" s="28"/>
      <c r="U631" s="1061"/>
      <c r="V631" s="279"/>
      <c r="W631" s="279"/>
      <c r="X631" s="279"/>
      <c r="Y631" s="279"/>
    </row>
    <row r="632" spans="1:25" ht="12.75">
      <c r="A632" s="340" t="s">
        <v>16</v>
      </c>
      <c r="B632" s="341"/>
      <c r="C632" s="341"/>
      <c r="D632" s="517"/>
      <c r="E632" s="562">
        <v>0.003</v>
      </c>
      <c r="F632" s="505">
        <v>3</v>
      </c>
      <c r="G632" s="214">
        <v>300</v>
      </c>
      <c r="H632" s="1060">
        <f>G632*E632</f>
        <v>0.9</v>
      </c>
      <c r="I632" s="45">
        <f>(F632*1)/100</f>
        <v>0.03</v>
      </c>
      <c r="J632" s="45">
        <f>(F632*72.5)/100</f>
        <v>2.175</v>
      </c>
      <c r="K632" s="45">
        <f>(F632*1.4)/100</f>
        <v>0.041999999999999996</v>
      </c>
      <c r="L632" s="46">
        <f>(F632*662)/100</f>
        <v>19.86</v>
      </c>
      <c r="N632" s="221"/>
      <c r="O632" s="221"/>
      <c r="P632" s="221"/>
      <c r="Q632" s="247"/>
      <c r="R632" s="270"/>
      <c r="S632" s="152"/>
      <c r="T632" s="150"/>
      <c r="U632" s="150"/>
      <c r="V632" s="279"/>
      <c r="W632" s="279"/>
      <c r="X632" s="279"/>
      <c r="Y632" s="1062"/>
    </row>
    <row r="633" spans="1:25" ht="12.75">
      <c r="A633" s="340" t="s">
        <v>46</v>
      </c>
      <c r="B633" s="341"/>
      <c r="C633" s="341"/>
      <c r="D633" s="517"/>
      <c r="E633" s="562">
        <v>0.008</v>
      </c>
      <c r="F633" s="564">
        <v>7</v>
      </c>
      <c r="G633" s="505">
        <v>230</v>
      </c>
      <c r="H633" s="535">
        <f>E633*G633</f>
        <v>1.84</v>
      </c>
      <c r="I633" s="455">
        <f>(12.7*F633)/100</f>
        <v>0.8889999999999999</v>
      </c>
      <c r="J633" s="455">
        <f>(F633*11.5)/100</f>
        <v>0.805</v>
      </c>
      <c r="K633" s="455">
        <f>(F633*0.7)/100</f>
        <v>0.049</v>
      </c>
      <c r="L633" s="456">
        <f>(157*F633)/100</f>
        <v>10.99</v>
      </c>
      <c r="N633" s="221"/>
      <c r="O633" s="221"/>
      <c r="P633" s="221"/>
      <c r="Q633" s="247"/>
      <c r="R633" s="563"/>
      <c r="S633" s="57"/>
      <c r="T633" s="209"/>
      <c r="U633" s="1061"/>
      <c r="V633" s="233"/>
      <c r="W633" s="233"/>
      <c r="X633" s="233"/>
      <c r="Y633" s="233"/>
    </row>
    <row r="634" spans="1:25" ht="12.75">
      <c r="A634" s="859" t="s">
        <v>85</v>
      </c>
      <c r="B634" s="278"/>
      <c r="C634" s="278"/>
      <c r="D634" s="860"/>
      <c r="E634" s="861">
        <v>0.006</v>
      </c>
      <c r="F634" s="862">
        <v>6</v>
      </c>
      <c r="G634" s="273">
        <v>53</v>
      </c>
      <c r="H634" s="255">
        <f>E634*G634</f>
        <v>0.318</v>
      </c>
      <c r="I634" s="34">
        <f>(E634*10.3)/0.1</f>
        <v>0.618</v>
      </c>
      <c r="J634" s="35">
        <f>(F634*1)/100</f>
        <v>0.06</v>
      </c>
      <c r="K634" s="35">
        <f>(F634*70.6)/100</f>
        <v>4.236</v>
      </c>
      <c r="L634" s="36">
        <f>(F634*329)/100</f>
        <v>19.74</v>
      </c>
      <c r="N634" s="275"/>
      <c r="O634" s="221"/>
      <c r="P634" s="221"/>
      <c r="Q634" s="247"/>
      <c r="R634" s="563"/>
      <c r="S634" s="565"/>
      <c r="T634" s="57"/>
      <c r="U634" s="209"/>
      <c r="V634" s="279"/>
      <c r="W634" s="279"/>
      <c r="X634" s="279"/>
      <c r="Y634" s="279"/>
    </row>
    <row r="635" spans="1:25" ht="12.75">
      <c r="A635" s="248" t="s">
        <v>84</v>
      </c>
      <c r="B635" s="249"/>
      <c r="C635" s="249"/>
      <c r="D635" s="260"/>
      <c r="E635" s="271">
        <v>0.1</v>
      </c>
      <c r="F635" s="272">
        <v>97</v>
      </c>
      <c r="G635" s="507">
        <v>180</v>
      </c>
      <c r="H635" s="1063">
        <f>G635*E635</f>
        <v>18</v>
      </c>
      <c r="I635" s="54">
        <f>(16*F635)/100</f>
        <v>15.52</v>
      </c>
      <c r="J635" s="256">
        <f>(F635*9)/100</f>
        <v>8.73</v>
      </c>
      <c r="K635" s="256">
        <f>(3*F635)/100</f>
        <v>2.91</v>
      </c>
      <c r="L635" s="532">
        <f>(157*F635)/100</f>
        <v>152.29</v>
      </c>
      <c r="N635" s="264"/>
      <c r="O635" s="278"/>
      <c r="P635" s="278"/>
      <c r="Q635" s="423"/>
      <c r="R635" s="277"/>
      <c r="S635" s="278"/>
      <c r="T635" s="267"/>
      <c r="U635" s="288"/>
      <c r="V635" s="586"/>
      <c r="W635" s="233"/>
      <c r="X635" s="233"/>
      <c r="Y635" s="233"/>
    </row>
    <row r="636" spans="1:25" ht="12.75">
      <c r="A636" s="340" t="s">
        <v>17</v>
      </c>
      <c r="B636" s="341"/>
      <c r="C636" s="341"/>
      <c r="D636" s="517"/>
      <c r="E636" s="562">
        <v>0.007</v>
      </c>
      <c r="F636" s="505">
        <v>7</v>
      </c>
      <c r="G636" s="214">
        <v>90</v>
      </c>
      <c r="H636" s="1060">
        <f>G636*E636</f>
        <v>0.63</v>
      </c>
      <c r="I636" s="80"/>
      <c r="J636" s="80"/>
      <c r="K636" s="80">
        <f>(F636*99.8)/100</f>
        <v>6.986000000000001</v>
      </c>
      <c r="L636" s="81">
        <f>(F636*399)/100</f>
        <v>27.93</v>
      </c>
      <c r="N636" s="221"/>
      <c r="O636" s="264"/>
      <c r="P636" s="264"/>
      <c r="Q636" s="325"/>
      <c r="R636" s="315"/>
      <c r="S636" s="266"/>
      <c r="T636" s="267"/>
      <c r="U636" s="1064"/>
      <c r="V636" s="291"/>
      <c r="W636" s="291"/>
      <c r="X636" s="291"/>
      <c r="Y636" s="291"/>
    </row>
    <row r="637" spans="1:25" ht="12.75">
      <c r="A637" s="248" t="s">
        <v>158</v>
      </c>
      <c r="B637" s="249"/>
      <c r="C637" s="249"/>
      <c r="D637" s="260"/>
      <c r="E637" s="95">
        <v>0.015</v>
      </c>
      <c r="F637" s="96">
        <v>10</v>
      </c>
      <c r="G637" s="96">
        <v>150</v>
      </c>
      <c r="H637" s="1063">
        <f>G637*E637</f>
        <v>2.25</v>
      </c>
      <c r="I637" s="54">
        <f>(1.5*F637)/100</f>
        <v>0.15</v>
      </c>
      <c r="J637" s="256">
        <f>(F637*0.5)/100</f>
        <v>0.05</v>
      </c>
      <c r="K637" s="256">
        <f>(21*F637)/100</f>
        <v>2.1</v>
      </c>
      <c r="L637" s="532">
        <f>(96*F637)/100</f>
        <v>9.6</v>
      </c>
      <c r="N637" s="221"/>
      <c r="O637" s="221"/>
      <c r="P637" s="221"/>
      <c r="Q637" s="247"/>
      <c r="R637" s="563"/>
      <c r="S637" s="57"/>
      <c r="T637" s="209"/>
      <c r="U637" s="1061"/>
      <c r="V637" s="152"/>
      <c r="W637" s="152"/>
      <c r="X637" s="152"/>
      <c r="Y637" s="152"/>
    </row>
    <row r="638" spans="1:25" ht="12.75">
      <c r="A638" s="566" t="s">
        <v>86</v>
      </c>
      <c r="B638" s="567"/>
      <c r="C638" s="567"/>
      <c r="D638" s="568"/>
      <c r="E638" s="569">
        <v>2E-05</v>
      </c>
      <c r="F638" s="83">
        <v>0.02</v>
      </c>
      <c r="G638" s="83">
        <v>1400</v>
      </c>
      <c r="H638" s="1065">
        <f>G638*E638</f>
        <v>0.028</v>
      </c>
      <c r="I638" s="570"/>
      <c r="J638" s="570"/>
      <c r="K638" s="570"/>
      <c r="L638" s="571"/>
      <c r="N638" s="221"/>
      <c r="O638" s="221"/>
      <c r="P638" s="221"/>
      <c r="Q638" s="247"/>
      <c r="R638" s="270"/>
      <c r="S638" s="28"/>
      <c r="T638" s="28"/>
      <c r="U638" s="1061"/>
      <c r="V638" s="291"/>
      <c r="W638" s="291"/>
      <c r="X638" s="291"/>
      <c r="Y638" s="291"/>
    </row>
    <row r="639" spans="1:25" ht="12.75">
      <c r="A639" s="309" t="s">
        <v>159</v>
      </c>
      <c r="B639" s="1066"/>
      <c r="C639" s="1067"/>
      <c r="D639" s="311">
        <v>30</v>
      </c>
      <c r="E639" s="1068"/>
      <c r="F639" s="1069"/>
      <c r="G639" s="284"/>
      <c r="H639" s="284">
        <f>SUM(H640:H643)</f>
        <v>3.3529999999999998</v>
      </c>
      <c r="I639" s="745">
        <f>I640+I641+I643</f>
        <v>1.194</v>
      </c>
      <c r="J639" s="745">
        <f>J640+J641+J643</f>
        <v>0.789</v>
      </c>
      <c r="K639" s="745">
        <f>K640+K641+K643+K642</f>
        <v>7.529</v>
      </c>
      <c r="L639" s="285">
        <f>L640+L641+L643+L642</f>
        <v>43.980000000000004</v>
      </c>
      <c r="N639" s="313"/>
      <c r="O639" s="221"/>
      <c r="P639" s="221"/>
      <c r="Q639" s="247"/>
      <c r="R639" s="594"/>
      <c r="S639" s="28"/>
      <c r="T639" s="28"/>
      <c r="U639" s="1061"/>
      <c r="V639" s="223"/>
      <c r="W639" s="223"/>
      <c r="X639" s="223"/>
      <c r="Y639" s="237"/>
    </row>
    <row r="640" spans="1:14" ht="12.75">
      <c r="A640" s="1807" t="s">
        <v>18</v>
      </c>
      <c r="B640" s="1807"/>
      <c r="C640" s="1807"/>
      <c r="D640" s="202"/>
      <c r="E640" s="1071">
        <v>0.03</v>
      </c>
      <c r="F640" s="1072">
        <v>30</v>
      </c>
      <c r="G640" s="290">
        <v>72</v>
      </c>
      <c r="H640" s="756">
        <f>G640*E640</f>
        <v>2.16</v>
      </c>
      <c r="I640" s="63">
        <f>(2.9*F640)/100</f>
        <v>0.87</v>
      </c>
      <c r="J640" s="63">
        <f>(F640*2.5)/100</f>
        <v>0.75</v>
      </c>
      <c r="K640" s="63">
        <f>(4.8*F640)/100</f>
        <v>1.44</v>
      </c>
      <c r="L640" s="64">
        <f>(F640*60)/100</f>
        <v>18</v>
      </c>
      <c r="N640" s="313"/>
    </row>
    <row r="641" spans="1:14" ht="12.75">
      <c r="A641" s="1807" t="s">
        <v>76</v>
      </c>
      <c r="B641" s="1807"/>
      <c r="C641" s="1807"/>
      <c r="D641" s="202"/>
      <c r="E641" s="1071">
        <v>0.003</v>
      </c>
      <c r="F641" s="1072">
        <v>3</v>
      </c>
      <c r="G641" s="290">
        <v>49</v>
      </c>
      <c r="H641" s="756">
        <f>G641*E641</f>
        <v>0.147</v>
      </c>
      <c r="I641" s="560">
        <f>(F641*10.8)/100</f>
        <v>0.32400000000000007</v>
      </c>
      <c r="J641" s="560">
        <f>(F641*1.3)/100</f>
        <v>0.03900000000000001</v>
      </c>
      <c r="K641" s="560">
        <f>(F641*69.9)/100</f>
        <v>2.097</v>
      </c>
      <c r="L641" s="912">
        <f>(F641*334)/100</f>
        <v>10.02</v>
      </c>
      <c r="N641" s="313"/>
    </row>
    <row r="642" spans="1:14" ht="12.75">
      <c r="A642" s="1807" t="s">
        <v>127</v>
      </c>
      <c r="B642" s="1807"/>
      <c r="C642" s="1807"/>
      <c r="D642" s="202"/>
      <c r="E642" s="1071">
        <v>0.001</v>
      </c>
      <c r="F642" s="1072">
        <v>1</v>
      </c>
      <c r="G642" s="290">
        <v>686</v>
      </c>
      <c r="H642" s="756">
        <f>G642*E642</f>
        <v>0.686</v>
      </c>
      <c r="I642" s="455"/>
      <c r="J642" s="455"/>
      <c r="K642" s="78"/>
      <c r="L642" s="1073"/>
      <c r="N642" s="313"/>
    </row>
    <row r="643" spans="1:14" ht="12.75">
      <c r="A643" s="1807" t="s">
        <v>17</v>
      </c>
      <c r="B643" s="1807"/>
      <c r="C643" s="1807"/>
      <c r="D643" s="202"/>
      <c r="E643" s="1071">
        <v>0.004</v>
      </c>
      <c r="F643" s="1072">
        <v>4</v>
      </c>
      <c r="G643" s="290">
        <v>90</v>
      </c>
      <c r="H643" s="756">
        <f>G643*E643</f>
        <v>0.36</v>
      </c>
      <c r="I643" s="80"/>
      <c r="J643" s="80"/>
      <c r="K643" s="80">
        <f>(F643*99.8)/100</f>
        <v>3.992</v>
      </c>
      <c r="L643" s="81">
        <f>(F643*399)/100</f>
        <v>15.96</v>
      </c>
      <c r="N643" s="313"/>
    </row>
    <row r="644" spans="1:14" ht="12.75">
      <c r="A644" s="1781" t="s">
        <v>49</v>
      </c>
      <c r="B644" s="1781"/>
      <c r="C644" s="1781"/>
      <c r="D644" s="347">
        <v>200</v>
      </c>
      <c r="E644" s="178"/>
      <c r="F644" s="180"/>
      <c r="G644" s="180"/>
      <c r="H644" s="348">
        <f>H645+H646</f>
        <v>1.3488000000000002</v>
      </c>
      <c r="I644" s="181">
        <f>SUM(I645:I646)</f>
        <v>0</v>
      </c>
      <c r="J644" s="181">
        <f>SUM(J645:J646)</f>
        <v>0</v>
      </c>
      <c r="K644" s="181">
        <f>SUM(K645:K646)</f>
        <v>11.975999999999999</v>
      </c>
      <c r="L644" s="349">
        <f>SUM(L645:L646)</f>
        <v>47.88</v>
      </c>
      <c r="N644" s="264"/>
    </row>
    <row r="645" spans="1:14" ht="15.75">
      <c r="A645" s="1782" t="s">
        <v>20</v>
      </c>
      <c r="B645" s="1782"/>
      <c r="C645" s="1782"/>
      <c r="D645" s="351"/>
      <c r="E645" s="72">
        <v>0.0006000000000000001</v>
      </c>
      <c r="F645" s="352">
        <v>0.6</v>
      </c>
      <c r="G645" s="74">
        <v>448</v>
      </c>
      <c r="H645" s="75">
        <f>G645*E645</f>
        <v>0.26880000000000004</v>
      </c>
      <c r="I645" s="75"/>
      <c r="J645" s="75"/>
      <c r="K645" s="75"/>
      <c r="L645" s="353"/>
      <c r="N645" s="1074"/>
    </row>
    <row r="646" spans="1:14" ht="12.75">
      <c r="A646" s="354" t="s">
        <v>17</v>
      </c>
      <c r="B646" s="355"/>
      <c r="C646" s="355"/>
      <c r="D646" s="356"/>
      <c r="E646" s="82">
        <v>0.012</v>
      </c>
      <c r="F646" s="357">
        <v>12</v>
      </c>
      <c r="G646" s="84">
        <v>90</v>
      </c>
      <c r="H646" s="358">
        <f>G646*E646</f>
        <v>1.08</v>
      </c>
      <c r="I646" s="358"/>
      <c r="J646" s="358"/>
      <c r="K646" s="358">
        <f>(F646*99.8)/100</f>
        <v>11.975999999999999</v>
      </c>
      <c r="L646" s="359">
        <f>(F646*399)/100</f>
        <v>47.88</v>
      </c>
      <c r="N646" s="313"/>
    </row>
    <row r="647" spans="1:14" ht="12.75">
      <c r="A647" s="457"/>
      <c r="B647" s="458"/>
      <c r="C647" s="474"/>
      <c r="D647" s="475"/>
      <c r="E647" s="476"/>
      <c r="F647" s="477"/>
      <c r="G647" s="478"/>
      <c r="H647" s="478"/>
      <c r="I647" s="479"/>
      <c r="J647" s="479"/>
      <c r="K647" s="479"/>
      <c r="L647" s="480"/>
      <c r="N647" s="313"/>
    </row>
    <row r="648" spans="1:14" ht="15.75">
      <c r="A648" s="768"/>
      <c r="B648" s="769"/>
      <c r="C648" s="770" t="s">
        <v>50</v>
      </c>
      <c r="D648" s="658"/>
      <c r="E648" s="771"/>
      <c r="F648" s="771"/>
      <c r="G648" s="772"/>
      <c r="H648" s="660">
        <f>H644+H639+H629</f>
        <v>31.3438</v>
      </c>
      <c r="I648" s="773"/>
      <c r="J648" s="773"/>
      <c r="K648" s="773"/>
      <c r="L648" s="663"/>
      <c r="N648" s="278"/>
    </row>
    <row r="649" spans="1:12" ht="12.75">
      <c r="A649" s="1075"/>
      <c r="B649" s="1076"/>
      <c r="C649" s="1076" t="s">
        <v>24</v>
      </c>
      <c r="D649" s="1077"/>
      <c r="E649" s="1076"/>
      <c r="F649" s="1076"/>
      <c r="G649" s="1078"/>
      <c r="H649" s="1078"/>
      <c r="I649" s="1079">
        <f>I644+I639+I629</f>
        <v>19.270999999999997</v>
      </c>
      <c r="J649" s="1079">
        <f>J644+J639+J629</f>
        <v>17.355</v>
      </c>
      <c r="K649" s="1079">
        <f>K644+K639+K629</f>
        <v>37.268</v>
      </c>
      <c r="L649" s="1079">
        <f>L644+L639+L629</f>
        <v>386.23</v>
      </c>
    </row>
    <row r="650" spans="1:12" ht="12.75">
      <c r="A650" s="866"/>
      <c r="B650" s="618"/>
      <c r="C650" s="867"/>
      <c r="D650" s="868"/>
      <c r="E650" s="867"/>
      <c r="F650" s="867"/>
      <c r="G650" s="869"/>
      <c r="H650" s="869"/>
      <c r="I650" s="870"/>
      <c r="J650" s="870"/>
      <c r="K650" s="870"/>
      <c r="L650" s="1080">
        <f>L649/1800</f>
        <v>0.21457222222222222</v>
      </c>
    </row>
    <row r="651" spans="1:12" ht="12.75">
      <c r="A651" s="779" t="s">
        <v>51</v>
      </c>
      <c r="B651" s="780"/>
      <c r="C651" s="780"/>
      <c r="D651" s="629"/>
      <c r="E651" s="781">
        <v>0.009000000000000001</v>
      </c>
      <c r="F651" s="430" t="s">
        <v>52</v>
      </c>
      <c r="G651" s="782">
        <v>20</v>
      </c>
      <c r="H651" s="630">
        <f>E651*G651</f>
        <v>0.18000000000000002</v>
      </c>
      <c r="I651" s="872"/>
      <c r="J651" s="872"/>
      <c r="K651" s="872"/>
      <c r="L651" s="873"/>
    </row>
    <row r="652" spans="1:12" ht="15.75">
      <c r="A652" s="785"/>
      <c r="B652" s="786"/>
      <c r="C652" s="787" t="s">
        <v>53</v>
      </c>
      <c r="D652" s="788"/>
      <c r="E652" s="786"/>
      <c r="F652" s="787"/>
      <c r="G652" s="789"/>
      <c r="H652" s="1081">
        <f>H651+H648+H625+H588+H583</f>
        <v>146.17680000000001</v>
      </c>
      <c r="I652" s="876"/>
      <c r="J652" s="876"/>
      <c r="K652" s="876"/>
      <c r="L652" s="954"/>
    </row>
    <row r="653" spans="1:12" ht="12.75">
      <c r="A653" s="779" t="s">
        <v>54</v>
      </c>
      <c r="B653" s="795"/>
      <c r="C653" s="780"/>
      <c r="D653" s="629"/>
      <c r="E653" s="780"/>
      <c r="F653" s="780"/>
      <c r="G653" s="630"/>
      <c r="H653" s="630"/>
      <c r="I653" s="632">
        <f>I649+I627+I586+I584</f>
        <v>62.596</v>
      </c>
      <c r="J653" s="632">
        <f>J649+J627+J586+J584</f>
        <v>62.507</v>
      </c>
      <c r="K653" s="632">
        <f>K649+K627+K586+K584</f>
        <v>224.331</v>
      </c>
      <c r="L653" s="632">
        <f>L649+L627+L587+L584</f>
        <v>1761.44</v>
      </c>
    </row>
    <row r="654" spans="1:12" ht="12.75">
      <c r="A654" s="634"/>
      <c r="B654" s="956"/>
      <c r="C654" s="634"/>
      <c r="D654" s="207"/>
      <c r="E654" s="634"/>
      <c r="F654" s="634"/>
      <c r="G654" s="210"/>
      <c r="H654" s="210"/>
      <c r="I654" s="211"/>
      <c r="J654" s="211"/>
      <c r="K654" s="211"/>
      <c r="L654" s="672">
        <f>L653/1800</f>
        <v>0.9785777777777778</v>
      </c>
    </row>
    <row r="655" spans="1:12" ht="12.75">
      <c r="A655" s="634"/>
      <c r="B655" s="956"/>
      <c r="C655" s="634"/>
      <c r="D655" s="207"/>
      <c r="E655" s="634"/>
      <c r="F655" s="634"/>
      <c r="G655" s="210"/>
      <c r="H655" s="210"/>
      <c r="I655" s="211"/>
      <c r="J655" s="211"/>
      <c r="K655" s="211"/>
      <c r="L655" s="672"/>
    </row>
    <row r="656" spans="1:12" ht="12.75">
      <c r="A656" s="634"/>
      <c r="B656" s="956"/>
      <c r="C656" s="634"/>
      <c r="D656" s="207"/>
      <c r="E656" s="634"/>
      <c r="F656" s="634"/>
      <c r="G656" s="210"/>
      <c r="H656" s="210"/>
      <c r="I656" s="211"/>
      <c r="J656" s="211"/>
      <c r="K656" s="211"/>
      <c r="L656" s="672"/>
    </row>
    <row r="657" spans="1:12" ht="15">
      <c r="A657" s="798"/>
      <c r="B657" s="798"/>
      <c r="C657" s="798"/>
      <c r="D657" s="619"/>
      <c r="E657" s="798"/>
      <c r="F657" s="798"/>
      <c r="G657" s="800" t="s">
        <v>160</v>
      </c>
      <c r="H657" s="799"/>
      <c r="J657" s="621"/>
      <c r="K657" s="621"/>
      <c r="L657" s="621"/>
    </row>
    <row r="658" spans="4:12" ht="12.75">
      <c r="D658" s="427" t="s">
        <v>1</v>
      </c>
      <c r="G658" s="5"/>
      <c r="H658" s="5"/>
      <c r="J658" s="4"/>
      <c r="L658" s="4"/>
    </row>
    <row r="659" spans="1:12" ht="25.5">
      <c r="A659" s="1772" t="s">
        <v>2</v>
      </c>
      <c r="B659" s="1772"/>
      <c r="C659" s="1772"/>
      <c r="D659" s="6" t="s">
        <v>3</v>
      </c>
      <c r="E659" s="7" t="s">
        <v>4</v>
      </c>
      <c r="F659" s="7" t="s">
        <v>5</v>
      </c>
      <c r="G659" s="1082" t="s">
        <v>6</v>
      </c>
      <c r="H659" s="1083" t="s">
        <v>56</v>
      </c>
      <c r="I659" s="14" t="s">
        <v>8</v>
      </c>
      <c r="J659" s="7" t="s">
        <v>9</v>
      </c>
      <c r="K659" s="10" t="s">
        <v>10</v>
      </c>
      <c r="L659" s="7" t="s">
        <v>11</v>
      </c>
    </row>
    <row r="660" spans="1:12" ht="12.75">
      <c r="A660" s="1772"/>
      <c r="B660" s="1772"/>
      <c r="C660" s="1772"/>
      <c r="D660" s="428"/>
      <c r="E660" s="12"/>
      <c r="F660" s="12"/>
      <c r="G660" s="13"/>
      <c r="H660" s="1084"/>
      <c r="I660" s="12" t="s">
        <v>12</v>
      </c>
      <c r="J660" s="12"/>
      <c r="K660" s="12"/>
      <c r="L660" s="14"/>
    </row>
    <row r="661" spans="1:12" ht="12.75">
      <c r="A661" s="16" t="s">
        <v>57</v>
      </c>
      <c r="B661" s="16" t="s">
        <v>161</v>
      </c>
      <c r="C661" s="19"/>
      <c r="D661" s="16"/>
      <c r="E661" s="19"/>
      <c r="F661" s="19"/>
      <c r="G661" s="17"/>
      <c r="H661" s="17"/>
      <c r="I661" s="16"/>
      <c r="J661" s="16"/>
      <c r="K661" s="19"/>
      <c r="L661" s="16"/>
    </row>
    <row r="662" spans="1:14" ht="12.75">
      <c r="A662" s="1773" t="s">
        <v>162</v>
      </c>
      <c r="B662" s="1773"/>
      <c r="C662" s="1773"/>
      <c r="D662" s="20">
        <v>200</v>
      </c>
      <c r="E662" s="21"/>
      <c r="F662" s="21"/>
      <c r="G662" s="22"/>
      <c r="H662" s="23">
        <f>H663+H664+H666+H665</f>
        <v>13.719999999999999</v>
      </c>
      <c r="I662" s="24">
        <f>SUM(I663:I666)</f>
        <v>6.859999999999999</v>
      </c>
      <c r="J662" s="24">
        <f>SUM(J663:J666)</f>
        <v>8.615</v>
      </c>
      <c r="K662" s="24">
        <f>SUM(K663:K666)</f>
        <v>23.622</v>
      </c>
      <c r="L662" s="24">
        <f>SUM(L663:L666)</f>
        <v>209.46</v>
      </c>
      <c r="N662" s="206"/>
    </row>
    <row r="663" spans="1:26" ht="12.75">
      <c r="A663" s="27" t="s">
        <v>85</v>
      </c>
      <c r="B663" s="28"/>
      <c r="C663" s="28"/>
      <c r="D663" s="29"/>
      <c r="E663" s="30">
        <v>0.02</v>
      </c>
      <c r="F663" s="31">
        <v>20</v>
      </c>
      <c r="G663" s="214">
        <v>53</v>
      </c>
      <c r="H663" s="215">
        <f>G663*E663</f>
        <v>1.06</v>
      </c>
      <c r="I663" s="204">
        <f>(12.3*F663)/100</f>
        <v>2.46</v>
      </c>
      <c r="J663" s="204">
        <f>(6.2*F663)/100</f>
        <v>1.24</v>
      </c>
      <c r="K663" s="204">
        <f>(61.8*F663)/100</f>
        <v>12.36</v>
      </c>
      <c r="L663" s="205">
        <f>(352*F663)/100</f>
        <v>70.4</v>
      </c>
      <c r="N663" s="221"/>
      <c r="O663" s="131"/>
      <c r="P663" s="131"/>
      <c r="Q663" s="131"/>
      <c r="R663" s="16"/>
      <c r="S663" s="28"/>
      <c r="T663" s="28"/>
      <c r="U663" s="150"/>
      <c r="V663" s="17"/>
      <c r="W663" s="1085"/>
      <c r="X663" s="1085"/>
      <c r="Y663" s="1085"/>
      <c r="Z663" s="1085"/>
    </row>
    <row r="664" spans="1:26" ht="12.75">
      <c r="A664" s="37" t="s">
        <v>16</v>
      </c>
      <c r="B664" s="38"/>
      <c r="C664" s="39"/>
      <c r="D664" s="40"/>
      <c r="E664" s="41">
        <v>0.005</v>
      </c>
      <c r="F664" s="42">
        <v>5</v>
      </c>
      <c r="G664" s="43">
        <v>300</v>
      </c>
      <c r="H664" s="44">
        <f>E664*G664</f>
        <v>1.5</v>
      </c>
      <c r="I664" s="45">
        <f>(F664*1)/100</f>
        <v>0.05</v>
      </c>
      <c r="J664" s="45">
        <f>(F664*72.5)/100</f>
        <v>3.625</v>
      </c>
      <c r="K664" s="45">
        <f>(F664*1.4)/100</f>
        <v>0.07</v>
      </c>
      <c r="L664" s="46">
        <f>(F664*662)/100</f>
        <v>33.1</v>
      </c>
      <c r="N664" s="221"/>
      <c r="O664" s="286"/>
      <c r="P664" s="28"/>
      <c r="Q664" s="28"/>
      <c r="R664" s="16"/>
      <c r="S664" s="270"/>
      <c r="T664" s="28"/>
      <c r="U664" s="209"/>
      <c r="V664" s="224"/>
      <c r="W664" s="268"/>
      <c r="X664" s="268"/>
      <c r="Y664" s="268"/>
      <c r="Z664" s="268"/>
    </row>
    <row r="665" spans="1:26" ht="12.75">
      <c r="A665" s="47" t="s">
        <v>17</v>
      </c>
      <c r="B665" s="48"/>
      <c r="C665" s="49"/>
      <c r="D665" s="50"/>
      <c r="E665" s="51">
        <v>0.004</v>
      </c>
      <c r="F665" s="52">
        <v>4</v>
      </c>
      <c r="G665" s="53">
        <v>90</v>
      </c>
      <c r="H665" s="53">
        <f>E665*G665</f>
        <v>0.36</v>
      </c>
      <c r="I665" s="54"/>
      <c r="J665" s="54"/>
      <c r="K665" s="54">
        <f>(F665*99.8)/100</f>
        <v>3.992</v>
      </c>
      <c r="L665" s="55">
        <f>(F665*399)/100</f>
        <v>15.96</v>
      </c>
      <c r="N665" s="221"/>
      <c r="O665" s="286"/>
      <c r="P665" s="286"/>
      <c r="Q665" s="28"/>
      <c r="R665" s="149"/>
      <c r="S665" s="270"/>
      <c r="T665" s="28"/>
      <c r="U665" s="150"/>
      <c r="V665" s="151"/>
      <c r="W665" s="233"/>
      <c r="X665" s="233"/>
      <c r="Y665" s="233"/>
      <c r="Z665" s="233"/>
    </row>
    <row r="666" spans="1:26" ht="12.75">
      <c r="A666" s="56" t="s">
        <v>18</v>
      </c>
      <c r="B666" s="57"/>
      <c r="C666" s="57"/>
      <c r="D666" s="58"/>
      <c r="E666" s="59">
        <v>0.15</v>
      </c>
      <c r="F666" s="60">
        <v>150</v>
      </c>
      <c r="G666" s="61">
        <v>72</v>
      </c>
      <c r="H666" s="62">
        <f>E666*G666</f>
        <v>10.799999999999999</v>
      </c>
      <c r="I666" s="63">
        <f>(2.9*F666)/100</f>
        <v>4.35</v>
      </c>
      <c r="J666" s="63">
        <f>(F666*2.5)/100</f>
        <v>3.75</v>
      </c>
      <c r="K666" s="63">
        <f>(4.8*F666)/100</f>
        <v>7.2</v>
      </c>
      <c r="L666" s="64">
        <f>(F666*60)/100</f>
        <v>90</v>
      </c>
      <c r="N666" s="221"/>
      <c r="O666" s="275"/>
      <c r="P666" s="275"/>
      <c r="Q666" s="278"/>
      <c r="R666" s="470"/>
      <c r="S666" s="277"/>
      <c r="T666" s="278"/>
      <c r="U666" s="471"/>
      <c r="V666" s="471"/>
      <c r="W666" s="291"/>
      <c r="X666" s="291"/>
      <c r="Y666" s="291"/>
      <c r="Z666" s="291"/>
    </row>
    <row r="667" spans="1:26" ht="12.75">
      <c r="A667" s="1781" t="s">
        <v>49</v>
      </c>
      <c r="B667" s="1781"/>
      <c r="C667" s="1781"/>
      <c r="D667" s="347">
        <v>200</v>
      </c>
      <c r="E667" s="178"/>
      <c r="F667" s="180"/>
      <c r="G667" s="180"/>
      <c r="H667" s="348">
        <f>H668+H669</f>
        <v>1.3488000000000002</v>
      </c>
      <c r="I667" s="181">
        <f>SUM(I668:I669)</f>
        <v>0</v>
      </c>
      <c r="J667" s="181">
        <f>SUM(J668:J669)</f>
        <v>0</v>
      </c>
      <c r="K667" s="181">
        <f>SUM(K668:K669)</f>
        <v>11.975999999999999</v>
      </c>
      <c r="L667" s="349">
        <f>SUM(L668:L669)</f>
        <v>47.88</v>
      </c>
      <c r="O667" s="221"/>
      <c r="P667" s="57"/>
      <c r="Q667" s="57"/>
      <c r="R667" s="207"/>
      <c r="S667" s="563"/>
      <c r="T667" s="57"/>
      <c r="U667" s="209"/>
      <c r="V667" s="224"/>
      <c r="W667" s="152"/>
      <c r="X667" s="152"/>
      <c r="Y667" s="152"/>
      <c r="Z667" s="152"/>
    </row>
    <row r="668" spans="1:12" ht="12.75">
      <c r="A668" s="1782" t="s">
        <v>20</v>
      </c>
      <c r="B668" s="1782"/>
      <c r="C668" s="1782"/>
      <c r="D668" s="351"/>
      <c r="E668" s="72">
        <v>0.0006000000000000001</v>
      </c>
      <c r="F668" s="352">
        <v>0.6</v>
      </c>
      <c r="G668" s="74">
        <v>448</v>
      </c>
      <c r="H668" s="75">
        <f>G668*E668</f>
        <v>0.26880000000000004</v>
      </c>
      <c r="I668" s="75"/>
      <c r="J668" s="75"/>
      <c r="K668" s="75"/>
      <c r="L668" s="353"/>
    </row>
    <row r="669" spans="1:12" ht="12.75">
      <c r="A669" s="354" t="s">
        <v>17</v>
      </c>
      <c r="B669" s="355"/>
      <c r="C669" s="355"/>
      <c r="D669" s="356"/>
      <c r="E669" s="82">
        <v>0.012</v>
      </c>
      <c r="F669" s="357">
        <v>12</v>
      </c>
      <c r="G669" s="84">
        <v>90</v>
      </c>
      <c r="H669" s="358">
        <f>G669*E669</f>
        <v>1.08</v>
      </c>
      <c r="I669" s="358"/>
      <c r="J669" s="358"/>
      <c r="K669" s="358">
        <f>(F669*99.8)/100</f>
        <v>11.975999999999999</v>
      </c>
      <c r="L669" s="359">
        <f>(F669*399)/100</f>
        <v>47.88</v>
      </c>
    </row>
    <row r="670" spans="1:12" ht="12.75">
      <c r="A670" s="37"/>
      <c r="B670" s="38"/>
      <c r="C670" s="39"/>
      <c r="D670" s="71"/>
      <c r="E670" s="41"/>
      <c r="F670" s="42"/>
      <c r="G670" s="43"/>
      <c r="H670" s="447"/>
      <c r="I670" s="63"/>
      <c r="J670" s="63"/>
      <c r="K670" s="63"/>
      <c r="L670" s="64"/>
    </row>
    <row r="671" spans="1:12" ht="12.75">
      <c r="A671" s="1773" t="s">
        <v>63</v>
      </c>
      <c r="B671" s="1773"/>
      <c r="C671" s="1773"/>
      <c r="D671" s="450" t="s">
        <v>64</v>
      </c>
      <c r="E671" s="66"/>
      <c r="F671" s="21"/>
      <c r="G671" s="22"/>
      <c r="H671" s="23">
        <f>H672+H673</f>
        <v>7.199999999999999</v>
      </c>
      <c r="I671" s="294">
        <f>SUM(I672:I674)</f>
        <v>4.96</v>
      </c>
      <c r="J671" s="294">
        <f>SUM(J672:J674)</f>
        <v>2.9099999999999997</v>
      </c>
      <c r="K671" s="294">
        <f>SUM(K672:K674)</f>
        <v>14.73</v>
      </c>
      <c r="L671" s="67">
        <f>SUM(L672:L674)</f>
        <v>105.7</v>
      </c>
    </row>
    <row r="672" spans="1:12" ht="12.75">
      <c r="A672" s="350" t="s">
        <v>42</v>
      </c>
      <c r="B672" s="451"/>
      <c r="C672" s="452"/>
      <c r="D672" s="453"/>
      <c r="E672" s="454">
        <v>0.03</v>
      </c>
      <c r="F672" s="73">
        <v>30</v>
      </c>
      <c r="G672" s="74">
        <v>64</v>
      </c>
      <c r="H672" s="79">
        <f>E672*G672</f>
        <v>1.92</v>
      </c>
      <c r="I672" s="455">
        <f>(F672*8)/100</f>
        <v>2.4</v>
      </c>
      <c r="J672" s="455">
        <f>(F672*1)/100</f>
        <v>0.3</v>
      </c>
      <c r="K672" s="455">
        <f>(F672*49.1)/100</f>
        <v>14.73</v>
      </c>
      <c r="L672" s="456">
        <f>(F672*238)/100</f>
        <v>71.4</v>
      </c>
    </row>
    <row r="673" spans="1:12" ht="12.75">
      <c r="A673" s="457" t="s">
        <v>65</v>
      </c>
      <c r="B673" s="458"/>
      <c r="C673" s="458"/>
      <c r="D673" s="459"/>
      <c r="E673" s="460">
        <v>0.011</v>
      </c>
      <c r="F673" s="461">
        <v>10</v>
      </c>
      <c r="G673" s="461">
        <v>480</v>
      </c>
      <c r="H673" s="461">
        <f>G673*E673</f>
        <v>5.279999999999999</v>
      </c>
      <c r="I673" s="461">
        <f>(25.6*F673)/100</f>
        <v>2.56</v>
      </c>
      <c r="J673" s="461">
        <f>(26.1*F673)/100</f>
        <v>2.61</v>
      </c>
      <c r="K673" s="461"/>
      <c r="L673" s="462">
        <f>(F673*343)/100</f>
        <v>34.3</v>
      </c>
    </row>
    <row r="674" spans="1:12" ht="12.75">
      <c r="A674" s="437"/>
      <c r="B674" s="438"/>
      <c r="C674" s="439"/>
      <c r="D674" s="440"/>
      <c r="E674" s="441"/>
      <c r="F674" s="442"/>
      <c r="G674" s="443"/>
      <c r="H674" s="443"/>
      <c r="I674" s="818"/>
      <c r="J674" s="818"/>
      <c r="K674" s="818"/>
      <c r="L674" s="819"/>
    </row>
    <row r="675" spans="1:12" ht="12.75">
      <c r="A675" s="1795"/>
      <c r="B675" s="1795"/>
      <c r="C675" s="1795"/>
      <c r="D675" s="765"/>
      <c r="E675" s="82"/>
      <c r="F675" s="83"/>
      <c r="G675" s="84"/>
      <c r="H675" s="1086"/>
      <c r="I675" s="1087"/>
      <c r="J675" s="1087"/>
      <c r="K675" s="1087"/>
      <c r="L675" s="1088"/>
    </row>
    <row r="676" spans="1:12" ht="15.75">
      <c r="A676" s="1089" t="s">
        <v>23</v>
      </c>
      <c r="B676" s="1090"/>
      <c r="C676" s="1090"/>
      <c r="D676" s="1091"/>
      <c r="E676" s="1092"/>
      <c r="F676" s="1091"/>
      <c r="G676" s="1093"/>
      <c r="H676" s="1093">
        <f>H671+H667+H662</f>
        <v>22.2688</v>
      </c>
      <c r="I676" s="1094"/>
      <c r="J676" s="1094"/>
      <c r="K676" s="1095"/>
      <c r="L676" s="1096"/>
    </row>
    <row r="677" spans="1:12" ht="15.75">
      <c r="A677" s="1097"/>
      <c r="B677" s="1098" t="s">
        <v>24</v>
      </c>
      <c r="C677" s="1099"/>
      <c r="D677" s="484"/>
      <c r="E677" s="1100"/>
      <c r="F677" s="484"/>
      <c r="G677" s="1101"/>
      <c r="H677" s="1101"/>
      <c r="I677" s="129">
        <f>I671+I667+I662</f>
        <v>11.82</v>
      </c>
      <c r="J677" s="129">
        <f>J671+J667+J662</f>
        <v>11.525</v>
      </c>
      <c r="K677" s="129">
        <f>K671+K667+K662</f>
        <v>50.328</v>
      </c>
      <c r="L677" s="129">
        <f>L671+L667+L662</f>
        <v>363.04</v>
      </c>
    </row>
    <row r="678" spans="1:12" ht="12.75">
      <c r="A678" s="1102"/>
      <c r="B678" s="131"/>
      <c r="C678" s="131"/>
      <c r="D678" s="16"/>
      <c r="E678" s="132"/>
      <c r="F678" s="16"/>
      <c r="G678" s="17"/>
      <c r="H678" s="17"/>
      <c r="I678" s="133"/>
      <c r="J678" s="133"/>
      <c r="K678" s="134"/>
      <c r="L678" s="153">
        <f>L677/1800</f>
        <v>0.2016888888888889</v>
      </c>
    </row>
    <row r="679" spans="1:12" ht="12.75">
      <c r="A679" s="1103"/>
      <c r="B679" s="133" t="s">
        <v>66</v>
      </c>
      <c r="C679" s="152"/>
      <c r="D679" s="149"/>
      <c r="E679" s="149"/>
      <c r="F679" s="149"/>
      <c r="G679" s="150"/>
      <c r="H679" s="150"/>
      <c r="I679" s="133"/>
      <c r="J679" s="152"/>
      <c r="K679" s="1104"/>
      <c r="L679" s="295"/>
    </row>
    <row r="680" spans="1:12" ht="12.75">
      <c r="A680" s="1776" t="s">
        <v>26</v>
      </c>
      <c r="B680" s="1776"/>
      <c r="C680" s="1776"/>
      <c r="D680" s="103">
        <v>100</v>
      </c>
      <c r="E680" s="104"/>
      <c r="F680" s="104"/>
      <c r="G680" s="105"/>
      <c r="H680" s="106">
        <f>H681</f>
        <v>7</v>
      </c>
      <c r="I680" s="139"/>
      <c r="J680" s="140">
        <f>J681</f>
        <v>0</v>
      </c>
      <c r="K680" s="140">
        <f>K681</f>
        <v>10.1</v>
      </c>
      <c r="L680" s="140">
        <f>L681</f>
        <v>46</v>
      </c>
    </row>
    <row r="681" spans="1:12" ht="12.75">
      <c r="A681" s="1777"/>
      <c r="B681" s="1777"/>
      <c r="C681" s="1777"/>
      <c r="D681" s="109"/>
      <c r="E681" s="110">
        <v>0.1</v>
      </c>
      <c r="F681" s="111">
        <v>100</v>
      </c>
      <c r="G681" s="112">
        <v>70</v>
      </c>
      <c r="H681" s="113">
        <f>E681*G681</f>
        <v>7</v>
      </c>
      <c r="I681" s="143"/>
      <c r="J681" s="143"/>
      <c r="K681" s="143">
        <f>(10.1*F681)/100</f>
        <v>10.1</v>
      </c>
      <c r="L681" s="146">
        <f>(F681*46)/100</f>
        <v>46</v>
      </c>
    </row>
    <row r="682" spans="1:12" ht="12.75">
      <c r="A682" s="1808"/>
      <c r="B682" s="1808"/>
      <c r="C682" s="1808"/>
      <c r="D682" s="927"/>
      <c r="E682" s="21"/>
      <c r="F682" s="21"/>
      <c r="G682" s="22"/>
      <c r="H682" s="23"/>
      <c r="I682" s="1105"/>
      <c r="J682" s="1105"/>
      <c r="K682" s="1106"/>
      <c r="L682" s="1107"/>
    </row>
    <row r="683" spans="1:12" ht="15.75">
      <c r="A683" s="154"/>
      <c r="B683" s="155"/>
      <c r="C683" s="156"/>
      <c r="D683" s="157"/>
      <c r="E683" s="157"/>
      <c r="F683" s="157"/>
      <c r="G683" s="158"/>
      <c r="H683" s="159">
        <f>H680</f>
        <v>7</v>
      </c>
      <c r="I683" s="160"/>
      <c r="J683" s="160"/>
      <c r="K683" s="160"/>
      <c r="L683" s="161"/>
    </row>
    <row r="684" spans="1:12" ht="15.75">
      <c r="A684" s="1108"/>
      <c r="B684" s="1098" t="s">
        <v>24</v>
      </c>
      <c r="C684" s="1098"/>
      <c r="D684" s="484"/>
      <c r="E684" s="484"/>
      <c r="F684" s="484"/>
      <c r="G684" s="1101"/>
      <c r="H684" s="1109"/>
      <c r="I684" s="1110">
        <f>I681</f>
        <v>0</v>
      </c>
      <c r="J684" s="1110">
        <f>J681</f>
        <v>0</v>
      </c>
      <c r="K684" s="1110">
        <f>K681</f>
        <v>10.1</v>
      </c>
      <c r="L684" s="1111">
        <f>L680/1800</f>
        <v>0.025555555555555557</v>
      </c>
    </row>
    <row r="685" spans="1:14" ht="12.75">
      <c r="A685" s="1112" t="s">
        <v>67</v>
      </c>
      <c r="B685" s="181" t="s">
        <v>68</v>
      </c>
      <c r="C685" s="178"/>
      <c r="D685" s="185"/>
      <c r="E685" s="179"/>
      <c r="F685" s="179"/>
      <c r="G685" s="150"/>
      <c r="H685" s="150"/>
      <c r="I685" s="133"/>
      <c r="J685" s="181"/>
      <c r="K685" s="182"/>
      <c r="L685" s="183"/>
      <c r="M685" s="345"/>
      <c r="N685" s="466"/>
    </row>
    <row r="686" spans="1:15" ht="12.75">
      <c r="A686" s="360"/>
      <c r="B686" s="572"/>
      <c r="C686" s="573"/>
      <c r="D686" s="574"/>
      <c r="E686" s="575"/>
      <c r="F686" s="574"/>
      <c r="G686" s="576"/>
      <c r="H686" s="106"/>
      <c r="I686" s="577"/>
      <c r="J686" s="577"/>
      <c r="K686" s="577"/>
      <c r="L686" s="577"/>
      <c r="M686" s="345"/>
      <c r="N686" s="1113"/>
      <c r="O686" s="345"/>
    </row>
    <row r="687" spans="1:26" ht="23.25" customHeight="1">
      <c r="A687" s="578"/>
      <c r="B687" s="579"/>
      <c r="C687" s="580"/>
      <c r="D687" s="581"/>
      <c r="E687" s="582"/>
      <c r="F687" s="583"/>
      <c r="G687" s="584"/>
      <c r="H687" s="585"/>
      <c r="I687" s="45"/>
      <c r="J687" s="45"/>
      <c r="K687" s="45"/>
      <c r="L687" s="46"/>
      <c r="M687" s="345"/>
      <c r="N687" s="221"/>
      <c r="O687" s="1113"/>
      <c r="P687" s="1113"/>
      <c r="Q687" s="314"/>
      <c r="R687" s="831"/>
      <c r="S687" s="831"/>
      <c r="T687" s="267"/>
      <c r="U687" s="316"/>
      <c r="V687" s="317"/>
      <c r="W687" s="317"/>
      <c r="X687" s="317"/>
      <c r="Y687" s="317"/>
      <c r="Z687" s="207"/>
    </row>
    <row r="688" spans="1:26" ht="12.75">
      <c r="A688" s="1809" t="s">
        <v>163</v>
      </c>
      <c r="B688" s="1809"/>
      <c r="C688" s="1809"/>
      <c r="D688" s="829" t="s">
        <v>70</v>
      </c>
      <c r="E688" s="693"/>
      <c r="F688" s="104"/>
      <c r="G688" s="105"/>
      <c r="H688" s="106">
        <f>SUM(H689:H695)</f>
        <v>9.988000000000001</v>
      </c>
      <c r="I688" s="108">
        <f>SUM(I689:I695)</f>
        <v>2.8469999999999995</v>
      </c>
      <c r="J688" s="108">
        <f>SUM(J689:J695)</f>
        <v>5.0280000000000005</v>
      </c>
      <c r="K688" s="108">
        <f>SUM(K689:K695)</f>
        <v>16.487</v>
      </c>
      <c r="L688" s="108">
        <f>SUM(L689:L695)</f>
        <v>123.20000000000002</v>
      </c>
      <c r="M688" s="26"/>
      <c r="N688" s="264"/>
      <c r="O688" s="57"/>
      <c r="P688" s="57"/>
      <c r="Q688" s="207"/>
      <c r="R688" s="222"/>
      <c r="S688" s="223"/>
      <c r="T688" s="209"/>
      <c r="U688" s="224"/>
      <c r="V688" s="152"/>
      <c r="W688" s="152"/>
      <c r="X688" s="152"/>
      <c r="Y688" s="152"/>
      <c r="Z688" s="152"/>
    </row>
    <row r="689" spans="1:26" ht="25.5" customHeight="1">
      <c r="A689" s="340" t="s">
        <v>71</v>
      </c>
      <c r="B689" s="493"/>
      <c r="C689" s="493"/>
      <c r="D689" s="515"/>
      <c r="E689" s="190"/>
      <c r="F689" s="191"/>
      <c r="G689" s="192"/>
      <c r="H689" s="193"/>
      <c r="I689" s="495"/>
      <c r="J689" s="495"/>
      <c r="K689" s="495"/>
      <c r="L689" s="496"/>
      <c r="M689" s="345"/>
      <c r="N689" s="705"/>
      <c r="O689" s="1810"/>
      <c r="P689" s="1810"/>
      <c r="Q689" s="1810"/>
      <c r="R689" s="314"/>
      <c r="S689" s="831"/>
      <c r="T689" s="831"/>
      <c r="U689" s="267"/>
      <c r="V689" s="316"/>
      <c r="W689" s="317"/>
      <c r="X689" s="317"/>
      <c r="Y689" s="317"/>
      <c r="Z689" s="317"/>
    </row>
    <row r="690" spans="1:26" ht="12.75">
      <c r="A690" s="318" t="s">
        <v>16</v>
      </c>
      <c r="B690" s="319"/>
      <c r="C690" s="319"/>
      <c r="D690" s="1115"/>
      <c r="E690" s="904">
        <v>0.003</v>
      </c>
      <c r="F690" s="905">
        <v>3</v>
      </c>
      <c r="G690" s="273">
        <v>300</v>
      </c>
      <c r="H690" s="324">
        <f>E690*G690</f>
        <v>0.9</v>
      </c>
      <c r="I690" s="518">
        <f>(F690*1)/100</f>
        <v>0.03</v>
      </c>
      <c r="J690" s="518">
        <f>(F690*72.5)/100</f>
        <v>2.175</v>
      </c>
      <c r="K690" s="518">
        <f>(F690*1.4)/100</f>
        <v>0.041999999999999996</v>
      </c>
      <c r="L690" s="519">
        <f>(F690*662)/100</f>
        <v>19.86</v>
      </c>
      <c r="M690" s="345"/>
      <c r="N690" s="705"/>
      <c r="O690" s="221"/>
      <c r="P690" s="57"/>
      <c r="Q690" s="57"/>
      <c r="R690" s="207"/>
      <c r="S690" s="222"/>
      <c r="T690" s="223"/>
      <c r="U690" s="209"/>
      <c r="V690" s="224"/>
      <c r="W690" s="152"/>
      <c r="X690" s="152"/>
      <c r="Y690" s="152"/>
      <c r="Z690" s="152"/>
    </row>
    <row r="691" spans="1:26" ht="12.75">
      <c r="A691" s="1117" t="s">
        <v>60</v>
      </c>
      <c r="B691" s="1118"/>
      <c r="C691" s="1118"/>
      <c r="D691" s="260"/>
      <c r="E691" s="1119">
        <v>0.01</v>
      </c>
      <c r="F691" s="1120">
        <v>10</v>
      </c>
      <c r="G691" s="507">
        <v>64</v>
      </c>
      <c r="H691" s="324">
        <f>G691*E691</f>
        <v>0.64</v>
      </c>
      <c r="I691" s="204">
        <f>(12.3*F691)/100</f>
        <v>1.23</v>
      </c>
      <c r="J691" s="204">
        <f>(6.2*F691)/100</f>
        <v>0.62</v>
      </c>
      <c r="K691" s="204">
        <f>(61.8*F691)/100</f>
        <v>6.18</v>
      </c>
      <c r="L691" s="205">
        <f>(352*F691)/100</f>
        <v>35.2</v>
      </c>
      <c r="M691" s="345"/>
      <c r="N691" s="705"/>
      <c r="O691" s="264"/>
      <c r="P691" s="264"/>
      <c r="Q691" s="264"/>
      <c r="R691" s="314"/>
      <c r="S691" s="1116"/>
      <c r="T691" s="268"/>
      <c r="U691" s="267"/>
      <c r="V691" s="288"/>
      <c r="W691" s="233"/>
      <c r="X691" s="233"/>
      <c r="Y691" s="233"/>
      <c r="Z691" s="233"/>
    </row>
    <row r="692" spans="1:26" ht="12.75">
      <c r="A692" s="318" t="s">
        <v>32</v>
      </c>
      <c r="B692" s="319"/>
      <c r="C692" s="907"/>
      <c r="D692" s="1121"/>
      <c r="E692" s="904">
        <v>0.08</v>
      </c>
      <c r="F692" s="905">
        <v>48</v>
      </c>
      <c r="G692" s="273">
        <v>56</v>
      </c>
      <c r="H692" s="324">
        <f>E692*G692</f>
        <v>4.48</v>
      </c>
      <c r="I692" s="204">
        <f>(F692*2)/100</f>
        <v>0.96</v>
      </c>
      <c r="J692" s="204">
        <f>(F692*0.4)/100</f>
        <v>0.19200000000000003</v>
      </c>
      <c r="K692" s="204">
        <f>(F692*16.3)/100</f>
        <v>7.824000000000001</v>
      </c>
      <c r="L692" s="274">
        <f>(F692*77)/100</f>
        <v>36.96</v>
      </c>
      <c r="M692" s="345"/>
      <c r="N692" s="705"/>
      <c r="O692" s="705"/>
      <c r="P692" s="705"/>
      <c r="Q692" s="705"/>
      <c r="R692" s="325"/>
      <c r="S692" s="326"/>
      <c r="T692" s="264"/>
      <c r="U692" s="267"/>
      <c r="V692" s="288"/>
      <c r="W692" s="268"/>
      <c r="X692" s="268"/>
      <c r="Y692" s="268"/>
      <c r="Z692" s="268"/>
    </row>
    <row r="693" spans="1:26" ht="12.75">
      <c r="A693" s="248" t="s">
        <v>33</v>
      </c>
      <c r="B693" s="249"/>
      <c r="C693" s="1122"/>
      <c r="D693" s="260"/>
      <c r="E693" s="709">
        <v>0.016</v>
      </c>
      <c r="F693" s="204">
        <v>13</v>
      </c>
      <c r="G693" s="507">
        <v>63</v>
      </c>
      <c r="H693" s="324">
        <f>E693*G693</f>
        <v>1.008</v>
      </c>
      <c r="I693" s="204">
        <f>(F693*1.4)/100</f>
        <v>0.182</v>
      </c>
      <c r="J693" s="204">
        <f>(F693*0.2)/100</f>
        <v>0.026000000000000002</v>
      </c>
      <c r="K693" s="204">
        <f>(F693*8.2)/100</f>
        <v>1.0659999999999998</v>
      </c>
      <c r="L693" s="205">
        <f>(F693*41)/100</f>
        <v>5.33</v>
      </c>
      <c r="M693" s="345"/>
      <c r="N693" s="705"/>
      <c r="O693" s="264"/>
      <c r="P693" s="264"/>
      <c r="Q693" s="266"/>
      <c r="R693" s="314"/>
      <c r="S693" s="1116"/>
      <c r="T693" s="268"/>
      <c r="U693" s="267"/>
      <c r="V693" s="288"/>
      <c r="W693" s="268"/>
      <c r="X693" s="268"/>
      <c r="Y693" s="268"/>
      <c r="Z693" s="269"/>
    </row>
    <row r="694" spans="1:26" ht="12.75">
      <c r="A694" s="248" t="s">
        <v>34</v>
      </c>
      <c r="B694" s="249"/>
      <c r="C694" s="1122"/>
      <c r="D694" s="260"/>
      <c r="E694" s="709">
        <v>0.02</v>
      </c>
      <c r="F694" s="204">
        <v>15</v>
      </c>
      <c r="G694" s="507">
        <v>70</v>
      </c>
      <c r="H694" s="324">
        <f>G694*E694</f>
        <v>1.4000000000000001</v>
      </c>
      <c r="I694" s="204">
        <f>(F694*1.3)/100</f>
        <v>0.195</v>
      </c>
      <c r="J694" s="204">
        <f>(F694*0.1)/100</f>
        <v>0.015</v>
      </c>
      <c r="K694" s="204">
        <f>(F694*6.9)/100</f>
        <v>1.035</v>
      </c>
      <c r="L694" s="274">
        <f>(F694*35)/100</f>
        <v>5.25</v>
      </c>
      <c r="M694" s="345"/>
      <c r="N694" s="264"/>
      <c r="O694" s="264"/>
      <c r="P694" s="264"/>
      <c r="Q694" s="264"/>
      <c r="R694" s="325"/>
      <c r="S694" s="1116"/>
      <c r="T694" s="268"/>
      <c r="U694" s="267"/>
      <c r="V694" s="288"/>
      <c r="W694" s="268"/>
      <c r="X694" s="268"/>
      <c r="Y694" s="268"/>
      <c r="Z694" s="268"/>
    </row>
    <row r="695" spans="1:26" ht="12.75">
      <c r="A695" s="999" t="s">
        <v>72</v>
      </c>
      <c r="B695" s="1000"/>
      <c r="C695" s="1000"/>
      <c r="D695" s="289"/>
      <c r="E695" s="1123">
        <v>0.01</v>
      </c>
      <c r="F695" s="1124">
        <v>10</v>
      </c>
      <c r="G695" s="1125">
        <v>156</v>
      </c>
      <c r="H695" s="1125">
        <f>E695*G695</f>
        <v>1.56</v>
      </c>
      <c r="I695" s="834">
        <f>(2.5*F695)/100</f>
        <v>0.25</v>
      </c>
      <c r="J695" s="834">
        <f>(20*F695)/100</f>
        <v>2</v>
      </c>
      <c r="K695" s="834">
        <f>(3.4*F695)/100</f>
        <v>0.34</v>
      </c>
      <c r="L695" s="220">
        <f>(206*F695)/100</f>
        <v>20.6</v>
      </c>
      <c r="M695" s="345"/>
      <c r="N695" s="264"/>
      <c r="O695" s="264"/>
      <c r="P695" s="264"/>
      <c r="Q695" s="264"/>
      <c r="R695" s="325"/>
      <c r="S695" s="1116"/>
      <c r="T695" s="268"/>
      <c r="U695" s="267"/>
      <c r="V695" s="288"/>
      <c r="W695" s="268"/>
      <c r="X695" s="268"/>
      <c r="Y695" s="268"/>
      <c r="Z695" s="269"/>
    </row>
    <row r="696" spans="1:26" ht="12.75">
      <c r="A696" s="1792" t="s">
        <v>164</v>
      </c>
      <c r="B696" s="1792"/>
      <c r="C696" s="1792"/>
      <c r="D696" s="20">
        <v>80</v>
      </c>
      <c r="E696" s="21"/>
      <c r="F696" s="719"/>
      <c r="G696" s="718"/>
      <c r="H696" s="106">
        <f>H697+H698+H699+H701+H702+H700</f>
        <v>29.207</v>
      </c>
      <c r="I696" s="108">
        <f>I697+I698+I699+I701+I702+I700</f>
        <v>2.299</v>
      </c>
      <c r="J696" s="108">
        <f>J697+J698+J699+J701+J702+J700</f>
        <v>18.577</v>
      </c>
      <c r="K696" s="108">
        <f>K697+K698+K699+K701+K702+K700</f>
        <v>5.961</v>
      </c>
      <c r="L696" s="108">
        <f>L697+L698+L699+L701+L702+L700</f>
        <v>236.12000000000003</v>
      </c>
      <c r="M696" s="345"/>
      <c r="N696" s="264"/>
      <c r="O696" s="1126"/>
      <c r="P696" s="1126"/>
      <c r="Q696" s="1126"/>
      <c r="R696" s="287"/>
      <c r="S696" s="595"/>
      <c r="T696" s="286"/>
      <c r="U696" s="151"/>
      <c r="V696" s="151"/>
      <c r="W696" s="237"/>
      <c r="X696" s="237"/>
      <c r="Y696" s="237"/>
      <c r="Z696" s="237"/>
    </row>
    <row r="697" spans="1:26" ht="12.75">
      <c r="A697" s="340" t="s">
        <v>75</v>
      </c>
      <c r="B697" s="493"/>
      <c r="C697" s="493"/>
      <c r="D697" s="515"/>
      <c r="E697" s="190">
        <v>0.1</v>
      </c>
      <c r="F697" s="191">
        <v>75</v>
      </c>
      <c r="G697" s="192">
        <v>240</v>
      </c>
      <c r="H697" s="193">
        <f>G697*E697</f>
        <v>24</v>
      </c>
      <c r="I697" s="495"/>
      <c r="J697" s="495">
        <f>(F697*16)/100</f>
        <v>12</v>
      </c>
      <c r="K697" s="495"/>
      <c r="L697" s="496">
        <f>(F697*190)/100</f>
        <v>142.5</v>
      </c>
      <c r="M697" s="345"/>
      <c r="N697" s="275"/>
      <c r="O697" s="221"/>
      <c r="P697" s="221"/>
      <c r="Q697" s="221"/>
      <c r="R697" s="247"/>
      <c r="S697" s="222"/>
      <c r="T697" s="223"/>
      <c r="U697" s="209"/>
      <c r="V697" s="224"/>
      <c r="W697" s="223"/>
      <c r="X697" s="223"/>
      <c r="Y697" s="223"/>
      <c r="Z697" s="237"/>
    </row>
    <row r="698" spans="1:26" ht="12.75">
      <c r="A698" s="516" t="s">
        <v>16</v>
      </c>
      <c r="B698" s="341"/>
      <c r="C698" s="341"/>
      <c r="D698" s="517"/>
      <c r="E698" s="448">
        <v>0.003</v>
      </c>
      <c r="F698" s="78">
        <v>3</v>
      </c>
      <c r="G698" s="79">
        <v>300</v>
      </c>
      <c r="H698" s="79">
        <f>E698*G698</f>
        <v>0.9</v>
      </c>
      <c r="I698" s="518">
        <f>(F698*1)/100</f>
        <v>0.03</v>
      </c>
      <c r="J698" s="518">
        <f>(F698*72.5)/100</f>
        <v>2.175</v>
      </c>
      <c r="K698" s="518">
        <f>(F698*1.4)/100</f>
        <v>0.041999999999999996</v>
      </c>
      <c r="L698" s="519">
        <f>(F698*662)/100</f>
        <v>19.86</v>
      </c>
      <c r="M698" s="345"/>
      <c r="N698" s="275"/>
      <c r="O698" s="221"/>
      <c r="P698" s="221"/>
      <c r="Q698" s="221"/>
      <c r="R698" s="247"/>
      <c r="S698" s="1052"/>
      <c r="T698" s="57"/>
      <c r="U698" s="209"/>
      <c r="V698" s="209"/>
      <c r="W698" s="207"/>
      <c r="X698" s="207"/>
      <c r="Y698" s="207"/>
      <c r="Z698" s="207"/>
    </row>
    <row r="699" spans="1:26" ht="12.75">
      <c r="A699" s="429" t="s">
        <v>48</v>
      </c>
      <c r="B699" s="430"/>
      <c r="C699" s="430"/>
      <c r="D699" s="520"/>
      <c r="E699" s="212">
        <v>0.01</v>
      </c>
      <c r="F699" s="213">
        <v>10</v>
      </c>
      <c r="G699" s="214">
        <v>64</v>
      </c>
      <c r="H699" s="215">
        <f>E699*G699</f>
        <v>0.64</v>
      </c>
      <c r="I699" s="455">
        <f>(F699*8)/100</f>
        <v>0.8</v>
      </c>
      <c r="J699" s="455">
        <f>(F699*1)/100</f>
        <v>0.1</v>
      </c>
      <c r="K699" s="455">
        <f>(F699*49.1)/100</f>
        <v>4.91</v>
      </c>
      <c r="L699" s="456">
        <f>(F699*238)/100</f>
        <v>23.8</v>
      </c>
      <c r="M699" s="345"/>
      <c r="N699" s="275"/>
      <c r="O699" s="221"/>
      <c r="P699" s="221"/>
      <c r="Q699" s="221"/>
      <c r="R699" s="247"/>
      <c r="S699" s="1052"/>
      <c r="T699" s="57"/>
      <c r="U699" s="209"/>
      <c r="V699" s="209"/>
      <c r="W699" s="207"/>
      <c r="X699" s="207"/>
      <c r="Y699" s="207"/>
      <c r="Z699" s="207"/>
    </row>
    <row r="700" spans="1:26" ht="12.75">
      <c r="A700" s="340" t="s">
        <v>37</v>
      </c>
      <c r="B700" s="341"/>
      <c r="C700" s="341"/>
      <c r="D700" s="517"/>
      <c r="E700" s="448">
        <v>0.003</v>
      </c>
      <c r="F700" s="80">
        <v>3</v>
      </c>
      <c r="G700" s="79">
        <v>129</v>
      </c>
      <c r="H700" s="79">
        <f>E700*G700</f>
        <v>0.387</v>
      </c>
      <c r="I700" s="521"/>
      <c r="J700" s="455">
        <f>(F700*99.9)/100</f>
        <v>2.9970000000000003</v>
      </c>
      <c r="K700" s="80"/>
      <c r="L700" s="522">
        <f>(F700*899)/100</f>
        <v>26.97</v>
      </c>
      <c r="M700" s="345"/>
      <c r="N700" s="275"/>
      <c r="O700" s="221"/>
      <c r="P700" s="221"/>
      <c r="Q700" s="221"/>
      <c r="R700" s="247"/>
      <c r="S700" s="1052"/>
      <c r="T700" s="57"/>
      <c r="U700" s="209"/>
      <c r="V700" s="209"/>
      <c r="W700" s="207"/>
      <c r="X700" s="207"/>
      <c r="Y700" s="207"/>
      <c r="Z700" s="207"/>
    </row>
    <row r="701" spans="1:26" ht="12.75">
      <c r="A701" s="217" t="s">
        <v>18</v>
      </c>
      <c r="B701" s="218"/>
      <c r="C701" s="218"/>
      <c r="D701" s="219"/>
      <c r="E701" s="77">
        <v>0.02</v>
      </c>
      <c r="F701" s="78">
        <v>20</v>
      </c>
      <c r="G701" s="53">
        <v>72</v>
      </c>
      <c r="H701" s="97">
        <f>E701*G701</f>
        <v>1.44</v>
      </c>
      <c r="I701" s="63">
        <f>(2.9*F701)/100</f>
        <v>0.58</v>
      </c>
      <c r="J701" s="63">
        <f>(F701*2.5)/100</f>
        <v>0.5</v>
      </c>
      <c r="K701" s="63">
        <f>(4.8*F701)/100</f>
        <v>0.96</v>
      </c>
      <c r="L701" s="64">
        <f>(F701*60)/100</f>
        <v>12</v>
      </c>
      <c r="M701" s="345"/>
      <c r="N701" s="275"/>
      <c r="O701" s="221"/>
      <c r="P701" s="221"/>
      <c r="Q701" s="221"/>
      <c r="R701" s="247"/>
      <c r="S701" s="1052"/>
      <c r="T701" s="57"/>
      <c r="U701" s="209"/>
      <c r="V701" s="209"/>
      <c r="W701" s="207"/>
      <c r="X701" s="207"/>
      <c r="Y701" s="207"/>
      <c r="Z701" s="207"/>
    </row>
    <row r="702" spans="1:26" ht="12.75">
      <c r="A702" s="523" t="s">
        <v>46</v>
      </c>
      <c r="B702" s="524"/>
      <c r="C702" s="525"/>
      <c r="D702" s="526"/>
      <c r="E702" s="527">
        <v>0.008</v>
      </c>
      <c r="F702" s="528">
        <v>7</v>
      </c>
      <c r="G702" s="229">
        <v>230</v>
      </c>
      <c r="H702" s="529">
        <f>E702*G702</f>
        <v>1.84</v>
      </c>
      <c r="I702" s="530">
        <f>(12.7*F702)/100</f>
        <v>0.8889999999999999</v>
      </c>
      <c r="J702" s="530">
        <f>(F702*11.5)/100</f>
        <v>0.805</v>
      </c>
      <c r="K702" s="530">
        <f>(F702*0.7)/100</f>
        <v>0.049</v>
      </c>
      <c r="L702" s="531">
        <f>(157*F702)/100</f>
        <v>10.99</v>
      </c>
      <c r="M702" s="345"/>
      <c r="N702" s="275"/>
      <c r="O702" s="221"/>
      <c r="P702" s="221"/>
      <c r="Q702" s="221"/>
      <c r="R702" s="247"/>
      <c r="S702" s="1052"/>
      <c r="T702" s="57"/>
      <c r="U702" s="209"/>
      <c r="V702" s="209"/>
      <c r="W702" s="207"/>
      <c r="X702" s="207"/>
      <c r="Y702" s="207"/>
      <c r="Z702" s="207"/>
    </row>
    <row r="703" spans="1:26" ht="12.75">
      <c r="A703" s="1811" t="s">
        <v>165</v>
      </c>
      <c r="B703" s="1811"/>
      <c r="C703" s="1811"/>
      <c r="D703" s="927">
        <v>130</v>
      </c>
      <c r="E703" s="312"/>
      <c r="F703" s="282"/>
      <c r="G703" s="283"/>
      <c r="H703" s="284">
        <f>H704+H705+H706+H707+H708+H710+H711+H709</f>
        <v>20.278</v>
      </c>
      <c r="I703" s="1127">
        <f>I704+I705+I706+I707+I708+I710+I711+I709</f>
        <v>3.9120000000000004</v>
      </c>
      <c r="J703" s="1127">
        <f>J704+J705+J706+J707+J708+J710+J711+J709</f>
        <v>5.849000000000001</v>
      </c>
      <c r="K703" s="1127">
        <f>K704+K705+K706+K707+K708+K710+K711+K709</f>
        <v>18.850699999999996</v>
      </c>
      <c r="L703" s="1127">
        <f>L704+L705+L706+L707+L708+L710+L711+L709</f>
        <v>139.446</v>
      </c>
      <c r="M703" s="345"/>
      <c r="N703" s="275"/>
      <c r="O703" s="221"/>
      <c r="P703" s="221"/>
      <c r="Q703" s="221"/>
      <c r="R703" s="247"/>
      <c r="S703" s="1052"/>
      <c r="T703" s="57"/>
      <c r="U703" s="209"/>
      <c r="V703" s="209"/>
      <c r="W703" s="207"/>
      <c r="X703" s="207"/>
      <c r="Y703" s="207"/>
      <c r="Z703" s="207"/>
    </row>
    <row r="704" spans="1:15" ht="12.75">
      <c r="A704" s="248" t="s">
        <v>16</v>
      </c>
      <c r="B704" s="249"/>
      <c r="C704" s="250"/>
      <c r="D704" s="251"/>
      <c r="E704" s="252">
        <v>0.003</v>
      </c>
      <c r="F704" s="253">
        <v>3</v>
      </c>
      <c r="G704" s="254">
        <v>300</v>
      </c>
      <c r="H704" s="255">
        <f>E704*G704</f>
        <v>0.9</v>
      </c>
      <c r="I704" s="45">
        <f>(F704*1)/100</f>
        <v>0.03</v>
      </c>
      <c r="J704" s="45">
        <f>(F704*72.5)/100</f>
        <v>2.175</v>
      </c>
      <c r="K704" s="45">
        <f>(F704*1.4)/100</f>
        <v>0.041999999999999996</v>
      </c>
      <c r="L704" s="46">
        <f>(F704*662)/100</f>
        <v>19.86</v>
      </c>
      <c r="M704" s="345"/>
      <c r="N704" s="275"/>
      <c r="O704" s="345"/>
    </row>
    <row r="705" spans="1:15" ht="12.75">
      <c r="A705" s="248" t="s">
        <v>37</v>
      </c>
      <c r="B705" s="250"/>
      <c r="C705" s="250"/>
      <c r="D705" s="251"/>
      <c r="E705" s="51">
        <v>0.003</v>
      </c>
      <c r="F705" s="256">
        <v>3</v>
      </c>
      <c r="G705" s="53">
        <v>129</v>
      </c>
      <c r="H705" s="144">
        <f>E705*G705</f>
        <v>0.387</v>
      </c>
      <c r="I705" s="257"/>
      <c r="J705" s="258">
        <f>(F705*99.9)/100</f>
        <v>2.9970000000000003</v>
      </c>
      <c r="K705" s="54"/>
      <c r="L705" s="259">
        <f>(F705*899)/100</f>
        <v>26.97</v>
      </c>
      <c r="M705" s="345"/>
      <c r="N705" s="275"/>
      <c r="O705" s="345"/>
    </row>
    <row r="706" spans="1:15" ht="12.75">
      <c r="A706" s="248" t="s">
        <v>32</v>
      </c>
      <c r="B706" s="249"/>
      <c r="C706" s="249"/>
      <c r="D706" s="260"/>
      <c r="E706" s="261">
        <v>0.135</v>
      </c>
      <c r="F706" s="262">
        <v>80</v>
      </c>
      <c r="G706" s="112">
        <v>56</v>
      </c>
      <c r="H706" s="112">
        <f>E706*G706</f>
        <v>7.5600000000000005</v>
      </c>
      <c r="I706" s="204">
        <f>(F706*2)/100</f>
        <v>1.6</v>
      </c>
      <c r="J706" s="204">
        <f>(F706*0.4)/100</f>
        <v>0.32</v>
      </c>
      <c r="K706" s="204">
        <f>(F706*16.3)/100</f>
        <v>13.04</v>
      </c>
      <c r="L706" s="274">
        <f>(F706*77)/100</f>
        <v>61.6</v>
      </c>
      <c r="M706" s="345"/>
      <c r="N706" s="275"/>
      <c r="O706" s="345"/>
    </row>
    <row r="707" spans="1:15" ht="12.75">
      <c r="A707" s="248" t="s">
        <v>38</v>
      </c>
      <c r="B707" s="249"/>
      <c r="C707" s="249"/>
      <c r="D707" s="260"/>
      <c r="E707" s="261">
        <v>0.09</v>
      </c>
      <c r="F707" s="262">
        <v>65</v>
      </c>
      <c r="G707" s="112">
        <v>56</v>
      </c>
      <c r="H707" s="112">
        <f>G707*E707</f>
        <v>5.04</v>
      </c>
      <c r="I707" s="111">
        <f>(1.8*F707)/100</f>
        <v>1.17</v>
      </c>
      <c r="J707" s="111">
        <f>(F707*0.1)/100</f>
        <v>0.065</v>
      </c>
      <c r="K707" s="111">
        <f>(F707*4.7)/100</f>
        <v>3.055</v>
      </c>
      <c r="L707" s="263">
        <f>(F707*28)/100</f>
        <v>18.2</v>
      </c>
      <c r="M707" s="345"/>
      <c r="N707" s="275"/>
      <c r="O707" s="345"/>
    </row>
    <row r="708" spans="1:15" ht="12.75">
      <c r="A708" s="248" t="s">
        <v>33</v>
      </c>
      <c r="B708" s="249"/>
      <c r="C708" s="249"/>
      <c r="D708" s="260"/>
      <c r="E708" s="261">
        <v>0.015</v>
      </c>
      <c r="F708" s="262">
        <v>12</v>
      </c>
      <c r="G708" s="112">
        <v>63</v>
      </c>
      <c r="H708" s="112">
        <f>G708*E708</f>
        <v>0.945</v>
      </c>
      <c r="I708" s="204">
        <f>(F708*1.4)/100</f>
        <v>0.16799999999999998</v>
      </c>
      <c r="J708" s="204">
        <f>(F708*0.2)/100</f>
        <v>0.024000000000000004</v>
      </c>
      <c r="K708" s="204">
        <f>(F708*8.2)/100</f>
        <v>0.9839999999999999</v>
      </c>
      <c r="L708" s="205">
        <f>(F708*41)/100</f>
        <v>4.92</v>
      </c>
      <c r="M708" s="345"/>
      <c r="N708" s="275"/>
      <c r="O708" s="345"/>
    </row>
    <row r="709" spans="1:15" ht="12.75">
      <c r="A709" s="248" t="s">
        <v>166</v>
      </c>
      <c r="B709" s="249"/>
      <c r="C709" s="249"/>
      <c r="D709" s="260"/>
      <c r="E709" s="261">
        <v>0.03</v>
      </c>
      <c r="F709" s="262">
        <v>20</v>
      </c>
      <c r="G709" s="112">
        <v>126</v>
      </c>
      <c r="H709" s="112">
        <f>G709*E709</f>
        <v>3.78</v>
      </c>
      <c r="I709" s="507">
        <f>(F709*3.2)/100</f>
        <v>0.64</v>
      </c>
      <c r="J709" s="507">
        <f>(G709*0.2)/100</f>
        <v>0.252</v>
      </c>
      <c r="K709" s="507">
        <f>(H709*6.5)/100</f>
        <v>0.2457</v>
      </c>
      <c r="L709" s="507">
        <f>(I709*40)/100</f>
        <v>0.256</v>
      </c>
      <c r="M709" s="345"/>
      <c r="N709" s="275"/>
      <c r="O709" s="345"/>
    </row>
    <row r="710" spans="1:15" ht="12.75">
      <c r="A710" s="248" t="s">
        <v>34</v>
      </c>
      <c r="B710" s="249"/>
      <c r="C710" s="249"/>
      <c r="D710" s="260"/>
      <c r="E710" s="271">
        <v>0.02</v>
      </c>
      <c r="F710" s="272">
        <v>16</v>
      </c>
      <c r="G710" s="273">
        <v>70</v>
      </c>
      <c r="H710" s="273">
        <f>E710*G710</f>
        <v>1.4000000000000001</v>
      </c>
      <c r="I710" s="204">
        <f>(F710*1.3)/100</f>
        <v>0.20800000000000002</v>
      </c>
      <c r="J710" s="204">
        <f>(F710*0.1)/100</f>
        <v>0.016</v>
      </c>
      <c r="K710" s="204">
        <f>(F710*6.9)/100</f>
        <v>1.104</v>
      </c>
      <c r="L710" s="274">
        <f>(F710*35)/100</f>
        <v>5.6</v>
      </c>
      <c r="M710" s="345"/>
      <c r="N710" s="275"/>
      <c r="O710" s="345"/>
    </row>
    <row r="711" spans="1:15" ht="12.75">
      <c r="A711" s="225" t="s">
        <v>78</v>
      </c>
      <c r="B711" s="1128"/>
      <c r="C711" s="1128"/>
      <c r="D711" s="1129"/>
      <c r="E711" s="1130">
        <v>0.002</v>
      </c>
      <c r="F711" s="1131">
        <v>2</v>
      </c>
      <c r="G711" s="1132">
        <v>133</v>
      </c>
      <c r="H711" s="1132">
        <f>G711*E711</f>
        <v>0.266</v>
      </c>
      <c r="I711" s="1133">
        <f>(4.8*F711)/100</f>
        <v>0.096</v>
      </c>
      <c r="J711" s="1133"/>
      <c r="K711" s="1133">
        <f>(19*F711)/100</f>
        <v>0.38</v>
      </c>
      <c r="L711" s="1134">
        <f>(102*F711)/100</f>
        <v>2.04</v>
      </c>
      <c r="M711" s="345"/>
      <c r="N711" s="275"/>
      <c r="O711" s="345"/>
    </row>
    <row r="712" spans="1:15" ht="12.75">
      <c r="A712" s="1780" t="s">
        <v>39</v>
      </c>
      <c r="B712" s="1780"/>
      <c r="C712" s="1780"/>
      <c r="D712" s="281">
        <v>200</v>
      </c>
      <c r="E712" s="282"/>
      <c r="F712" s="282"/>
      <c r="G712" s="283"/>
      <c r="H712" s="284">
        <f>H713+H714</f>
        <v>5.97</v>
      </c>
      <c r="I712" s="285">
        <f>I713+I714</f>
        <v>0.78</v>
      </c>
      <c r="J712" s="285">
        <f>J713+J714</f>
        <v>0.04500000000000001</v>
      </c>
      <c r="K712" s="285">
        <f>K713+K714</f>
        <v>22.62</v>
      </c>
      <c r="L712" s="285">
        <f>L713+L714</f>
        <v>94.65</v>
      </c>
      <c r="N712" s="206"/>
      <c r="O712" s="345"/>
    </row>
    <row r="713" spans="1:14" ht="12.75">
      <c r="A713" s="68" t="s">
        <v>40</v>
      </c>
      <c r="B713" s="69"/>
      <c r="C713" s="69"/>
      <c r="D713" s="289"/>
      <c r="E713" s="77">
        <v>0.015</v>
      </c>
      <c r="F713" s="78">
        <v>15</v>
      </c>
      <c r="G713" s="79">
        <v>308</v>
      </c>
      <c r="H713" s="290">
        <f>G713*E713</f>
        <v>4.62</v>
      </c>
      <c r="I713" s="194">
        <f>(F713*5.2)/100</f>
        <v>0.78</v>
      </c>
      <c r="J713" s="194">
        <f>(0.3*F713)/100</f>
        <v>0.04500000000000001</v>
      </c>
      <c r="K713" s="194">
        <f>(F713*51)/100</f>
        <v>7.65</v>
      </c>
      <c r="L713" s="195">
        <f>(232*F713)/100</f>
        <v>34.8</v>
      </c>
      <c r="N713" s="221"/>
    </row>
    <row r="714" spans="1:14" ht="12.75">
      <c r="A714" s="37" t="s">
        <v>17</v>
      </c>
      <c r="B714" s="38"/>
      <c r="C714" s="292"/>
      <c r="D714" s="293"/>
      <c r="E714" s="41">
        <v>0.015</v>
      </c>
      <c r="F714" s="42">
        <v>15</v>
      </c>
      <c r="G714" s="43">
        <v>90</v>
      </c>
      <c r="H714" s="43">
        <f>E714*G714</f>
        <v>1.3499999999999999</v>
      </c>
      <c r="I714" s="80"/>
      <c r="J714" s="80"/>
      <c r="K714" s="80">
        <f>(F714*99.8)/100</f>
        <v>14.97</v>
      </c>
      <c r="L714" s="81">
        <f>(F714*399)/100</f>
        <v>59.85</v>
      </c>
      <c r="N714" s="221"/>
    </row>
    <row r="715" spans="1:12" ht="12.75">
      <c r="A715" s="1774" t="s">
        <v>41</v>
      </c>
      <c r="B715" s="1774"/>
      <c r="C715" s="1774"/>
      <c r="D715" s="927">
        <v>50</v>
      </c>
      <c r="E715" s="66">
        <v>0.05</v>
      </c>
      <c r="F715" s="21">
        <v>50</v>
      </c>
      <c r="G715" s="22">
        <v>35</v>
      </c>
      <c r="H715" s="23">
        <f>E715*G715</f>
        <v>1.75</v>
      </c>
      <c r="I715" s="294">
        <f>(6.6*F715)/100</f>
        <v>3.3</v>
      </c>
      <c r="J715" s="294">
        <f>(1.2*F715)/100</f>
        <v>0.6</v>
      </c>
      <c r="K715" s="294">
        <f>(33.4*F715)/100</f>
        <v>16.7</v>
      </c>
      <c r="L715" s="67">
        <f>(174*F715)/100</f>
        <v>87</v>
      </c>
    </row>
    <row r="716" spans="1:12" ht="12.75">
      <c r="A716" s="1812" t="s">
        <v>42</v>
      </c>
      <c r="B716" s="1812"/>
      <c r="C716" s="1812"/>
      <c r="D716" s="1135">
        <v>30</v>
      </c>
      <c r="E716" s="1136">
        <v>0.03</v>
      </c>
      <c r="F716" s="1137">
        <v>30</v>
      </c>
      <c r="G716" s="1138">
        <v>64</v>
      </c>
      <c r="H716" s="1139">
        <f>E716*G716</f>
        <v>1.92</v>
      </c>
      <c r="I716" s="1140">
        <f>(30*8)/100</f>
        <v>2.4</v>
      </c>
      <c r="J716" s="1140">
        <f>(30*1)/100</f>
        <v>0.3</v>
      </c>
      <c r="K716" s="1140">
        <f>(30*49.1)/100</f>
        <v>14.73</v>
      </c>
      <c r="L716" s="1141">
        <f>(30*238)/100</f>
        <v>71.4</v>
      </c>
    </row>
    <row r="717" spans="1:12" ht="15.75">
      <c r="A717" s="1142"/>
      <c r="B717" s="1143"/>
      <c r="C717" s="303" t="s">
        <v>43</v>
      </c>
      <c r="D717" s="304"/>
      <c r="E717" s="303"/>
      <c r="F717" s="303"/>
      <c r="G717" s="305"/>
      <c r="H717" s="305">
        <f>H716+H715+H712+H703+H696+H688</f>
        <v>69.113</v>
      </c>
      <c r="I717" s="306"/>
      <c r="J717" s="1144"/>
      <c r="K717" s="1144"/>
      <c r="L717" s="1145"/>
    </row>
    <row r="718" spans="1:12" ht="15.75">
      <c r="A718" s="1108"/>
      <c r="B718" s="1098" t="s">
        <v>24</v>
      </c>
      <c r="C718" s="1098"/>
      <c r="D718" s="484"/>
      <c r="E718" s="1098"/>
      <c r="F718" s="1098"/>
      <c r="G718" s="1101"/>
      <c r="H718" s="1101"/>
      <c r="I718" s="1146">
        <f>I716+I715+I712+I711+I703+I696+I688</f>
        <v>15.633999999999999</v>
      </c>
      <c r="J718" s="1146">
        <f>J716+J715+J712+J711+J703+J696+J688</f>
        <v>30.399</v>
      </c>
      <c r="K718" s="1146">
        <f>K716+K715+K712+K711+K703+K696+K688</f>
        <v>95.72869999999999</v>
      </c>
      <c r="L718" s="1146">
        <f>L716+L715+L712+L703+L696+L688</f>
        <v>751.816</v>
      </c>
    </row>
    <row r="719" spans="1:12" ht="12.75">
      <c r="A719" s="28"/>
      <c r="B719" s="28"/>
      <c r="C719" s="28"/>
      <c r="D719" s="149"/>
      <c r="E719" s="28"/>
      <c r="F719" s="28"/>
      <c r="G719" s="150"/>
      <c r="H719" s="150"/>
      <c r="I719" s="152"/>
      <c r="J719" s="152"/>
      <c r="K719" s="152"/>
      <c r="L719" s="1147">
        <f>L718/1800</f>
        <v>0.4176755555555556</v>
      </c>
    </row>
    <row r="720" spans="1:14" ht="12.75">
      <c r="A720" s="133" t="s">
        <v>44</v>
      </c>
      <c r="B720" s="133" t="s">
        <v>105</v>
      </c>
      <c r="C720" s="28"/>
      <c r="D720" s="149"/>
      <c r="E720" s="28"/>
      <c r="F720" s="28"/>
      <c r="G720" s="28"/>
      <c r="H720" s="28"/>
      <c r="I720" s="133"/>
      <c r="J720" s="133"/>
      <c r="K720" s="150"/>
      <c r="L720" s="152"/>
      <c r="N720" s="206"/>
    </row>
    <row r="721" spans="1:14" ht="12.75">
      <c r="A721" s="1780" t="s">
        <v>167</v>
      </c>
      <c r="B721" s="1780"/>
      <c r="C721" s="1780"/>
      <c r="D721" s="281">
        <v>70</v>
      </c>
      <c r="E721" s="282"/>
      <c r="F721" s="282"/>
      <c r="G721" s="283"/>
      <c r="H721" s="284">
        <f>SUM(H722:H728)</f>
        <v>34.028</v>
      </c>
      <c r="I721" s="285">
        <f>SUM(I722:I728)</f>
        <v>14.815</v>
      </c>
      <c r="J721" s="285">
        <f>SUM(J722:J728)</f>
        <v>5.816</v>
      </c>
      <c r="K721" s="285">
        <f>SUM(K722:K728)</f>
        <v>9.082</v>
      </c>
      <c r="L721" s="285">
        <f>SUM(L722:L728)</f>
        <v>149.2</v>
      </c>
      <c r="N721" s="206"/>
    </row>
    <row r="722" spans="1:14" ht="26.25" customHeight="1">
      <c r="A722" s="538" t="s">
        <v>107</v>
      </c>
      <c r="B722" s="907"/>
      <c r="C722" s="908"/>
      <c r="D722" s="251"/>
      <c r="E722" s="261">
        <v>0.095</v>
      </c>
      <c r="F722" s="262">
        <v>70</v>
      </c>
      <c r="G722" s="112">
        <v>300</v>
      </c>
      <c r="H722" s="112">
        <f>E722*G722</f>
        <v>28.5</v>
      </c>
      <c r="I722" s="111">
        <f>(F722*17.2)/100</f>
        <v>12.04</v>
      </c>
      <c r="J722" s="111">
        <f>(0.5*F722)/100</f>
        <v>0.35</v>
      </c>
      <c r="K722" s="111"/>
      <c r="L722" s="909">
        <f>(73*F722)/100</f>
        <v>51.1</v>
      </c>
      <c r="N722" s="206"/>
    </row>
    <row r="723" spans="1:14" ht="12.75">
      <c r="A723" s="340" t="s">
        <v>33</v>
      </c>
      <c r="B723" s="341"/>
      <c r="C723" s="341"/>
      <c r="D723" s="725"/>
      <c r="E723" s="562">
        <v>0.015</v>
      </c>
      <c r="F723" s="564">
        <v>13</v>
      </c>
      <c r="G723" s="726">
        <v>63</v>
      </c>
      <c r="H723" s="535">
        <f>G723*E723</f>
        <v>0.945</v>
      </c>
      <c r="I723" s="834">
        <f>(F723*1.4)/100</f>
        <v>0.182</v>
      </c>
      <c r="J723" s="834">
        <f>(F723*0.2)/100</f>
        <v>0.026000000000000002</v>
      </c>
      <c r="K723" s="834">
        <f>(F723*8.2)/100</f>
        <v>1.0659999999999998</v>
      </c>
      <c r="L723" s="220">
        <f>(F723*41)/100</f>
        <v>5.33</v>
      </c>
      <c r="N723" s="206"/>
    </row>
    <row r="724" spans="1:14" ht="12.75">
      <c r="A724" s="340" t="s">
        <v>42</v>
      </c>
      <c r="B724" s="341"/>
      <c r="C724" s="341"/>
      <c r="D724" s="725"/>
      <c r="E724" s="562">
        <v>0.01</v>
      </c>
      <c r="F724" s="564">
        <v>10</v>
      </c>
      <c r="G724" s="726">
        <v>64</v>
      </c>
      <c r="H724" s="535">
        <f>E724*G724</f>
        <v>0.64</v>
      </c>
      <c r="I724" s="455">
        <f>(F724*8)/100</f>
        <v>0.8</v>
      </c>
      <c r="J724" s="455">
        <f>(F724*1)/100</f>
        <v>0.1</v>
      </c>
      <c r="K724" s="455">
        <f>(F724*49.1)/100</f>
        <v>4.91</v>
      </c>
      <c r="L724" s="456">
        <f>(F724*238)/100</f>
        <v>23.8</v>
      </c>
      <c r="N724" s="206"/>
    </row>
    <row r="725" spans="1:14" ht="12.75">
      <c r="A725" s="340" t="s">
        <v>37</v>
      </c>
      <c r="B725" s="341"/>
      <c r="C725" s="341"/>
      <c r="D725" s="725"/>
      <c r="E725" s="562">
        <v>0.004</v>
      </c>
      <c r="F725" s="564">
        <v>4</v>
      </c>
      <c r="G725" s="726">
        <v>129</v>
      </c>
      <c r="H725" s="535">
        <f>E725*G725</f>
        <v>0.516</v>
      </c>
      <c r="I725" s="455"/>
      <c r="J725" s="455">
        <f>(F725*99.9)/100</f>
        <v>3.9960000000000004</v>
      </c>
      <c r="K725" s="455"/>
      <c r="L725" s="910">
        <f>(F725*899)/100</f>
        <v>35.96</v>
      </c>
      <c r="N725" s="206"/>
    </row>
    <row r="726" spans="1:14" ht="12.75">
      <c r="A726" s="340" t="s">
        <v>76</v>
      </c>
      <c r="B726" s="341"/>
      <c r="C726" s="341"/>
      <c r="D726" s="725"/>
      <c r="E726" s="562">
        <v>0.003</v>
      </c>
      <c r="F726" s="564">
        <v>3</v>
      </c>
      <c r="G726" s="726">
        <v>49</v>
      </c>
      <c r="H726" s="911">
        <f>E726*G726</f>
        <v>0.147</v>
      </c>
      <c r="I726" s="560">
        <f>(F726*10.8)/100</f>
        <v>0.32400000000000007</v>
      </c>
      <c r="J726" s="560">
        <f>(F726*1.3)/100</f>
        <v>0.03900000000000001</v>
      </c>
      <c r="K726" s="560">
        <f>(F726*69.9)/100</f>
        <v>2.097</v>
      </c>
      <c r="L726" s="912">
        <f>(F726*334)/100</f>
        <v>10.02</v>
      </c>
      <c r="N726" s="206"/>
    </row>
    <row r="727" spans="1:14" ht="12.75">
      <c r="A727" s="508" t="s">
        <v>18</v>
      </c>
      <c r="B727" s="913"/>
      <c r="C727" s="70"/>
      <c r="D727" s="914"/>
      <c r="E727" s="915">
        <v>0.02</v>
      </c>
      <c r="F727" s="455">
        <v>20</v>
      </c>
      <c r="G727" s="290">
        <v>72</v>
      </c>
      <c r="H727" s="911">
        <f>E727*G727</f>
        <v>1.44</v>
      </c>
      <c r="I727" s="916">
        <f>(2.9*F727)/100</f>
        <v>0.58</v>
      </c>
      <c r="J727" s="916">
        <f>(F727*2.5)/100</f>
        <v>0.5</v>
      </c>
      <c r="K727" s="916">
        <f>(4.8*F727)/100</f>
        <v>0.96</v>
      </c>
      <c r="L727" s="917">
        <f>(F727*60)/100</f>
        <v>12</v>
      </c>
      <c r="N727" s="206"/>
    </row>
    <row r="728" spans="1:14" ht="12.75">
      <c r="A728" s="340" t="s">
        <v>46</v>
      </c>
      <c r="B728" s="341"/>
      <c r="C728" s="341"/>
      <c r="D728" s="725"/>
      <c r="E728" s="562">
        <v>0.008</v>
      </c>
      <c r="F728" s="564">
        <v>7</v>
      </c>
      <c r="G728" s="726">
        <v>230</v>
      </c>
      <c r="H728" s="911">
        <f>E728*G728</f>
        <v>1.84</v>
      </c>
      <c r="I728" s="455">
        <f>(12.7*F728)/100</f>
        <v>0.8889999999999999</v>
      </c>
      <c r="J728" s="455">
        <f>(F728*11.5)/100</f>
        <v>0.805</v>
      </c>
      <c r="K728" s="455">
        <f>(F728*0.7)/100</f>
        <v>0.049</v>
      </c>
      <c r="L728" s="456">
        <f>(157*F728)/100</f>
        <v>10.99</v>
      </c>
      <c r="N728" s="206"/>
    </row>
    <row r="729" spans="1:14" ht="12.75">
      <c r="A729" s="566"/>
      <c r="B729" s="567"/>
      <c r="C729" s="567"/>
      <c r="D729" s="748"/>
      <c r="E729" s="527"/>
      <c r="F729" s="528"/>
      <c r="G729" s="640"/>
      <c r="H729" s="642"/>
      <c r="I729" s="749"/>
      <c r="J729" s="749"/>
      <c r="K729" s="749"/>
      <c r="L729" s="750"/>
      <c r="N729" s="206"/>
    </row>
    <row r="730" spans="1:14" ht="12.75">
      <c r="A730" s="309" t="s">
        <v>109</v>
      </c>
      <c r="B730" s="310"/>
      <c r="C730" s="310"/>
      <c r="D730" s="311">
        <v>120</v>
      </c>
      <c r="E730" s="312"/>
      <c r="F730" s="282"/>
      <c r="G730" s="283"/>
      <c r="H730" s="284">
        <f>SUM(H731:H733)</f>
        <v>12.780000000000001</v>
      </c>
      <c r="I730" s="285">
        <f>I731+I732+I733</f>
        <v>3.01</v>
      </c>
      <c r="J730" s="285">
        <f>J731+J732+J733</f>
        <v>4.984999999999999</v>
      </c>
      <c r="K730" s="285">
        <f>K731+K732+K733</f>
        <v>16.66</v>
      </c>
      <c r="L730" s="285">
        <f>L731+L732+L733</f>
        <v>126.4</v>
      </c>
      <c r="N730" s="206"/>
    </row>
    <row r="731" spans="1:14" ht="12.75">
      <c r="A731" s="429" t="s">
        <v>32</v>
      </c>
      <c r="B731" s="430"/>
      <c r="C731" s="430"/>
      <c r="D731" s="751"/>
      <c r="E731" s="752">
        <v>0.15</v>
      </c>
      <c r="F731" s="753">
        <v>90</v>
      </c>
      <c r="G731" s="192">
        <v>56</v>
      </c>
      <c r="H731" s="192">
        <f>E731*G731</f>
        <v>8.4</v>
      </c>
      <c r="I731" s="213">
        <f>(F731*2)/100</f>
        <v>1.8</v>
      </c>
      <c r="J731" s="213">
        <f>(F731*0.4)/100</f>
        <v>0.36</v>
      </c>
      <c r="K731" s="213">
        <f>(F731*16.3)/100</f>
        <v>14.67</v>
      </c>
      <c r="L731" s="216">
        <f>(F731*77)/100</f>
        <v>69.3</v>
      </c>
      <c r="N731" s="206"/>
    </row>
    <row r="732" spans="1:14" ht="12.75">
      <c r="A732" s="429" t="s">
        <v>18</v>
      </c>
      <c r="B732" s="430"/>
      <c r="C732" s="430"/>
      <c r="D732" s="751"/>
      <c r="E732" s="754">
        <v>0.04</v>
      </c>
      <c r="F732" s="755">
        <v>40</v>
      </c>
      <c r="G732" s="756">
        <v>72</v>
      </c>
      <c r="H732" s="756">
        <f>G732*E732</f>
        <v>2.88</v>
      </c>
      <c r="I732" s="63">
        <f>(2.9*F732)/100</f>
        <v>1.16</v>
      </c>
      <c r="J732" s="63">
        <f>(F732*2.5)/100</f>
        <v>1</v>
      </c>
      <c r="K732" s="63">
        <f>(4.8*F732)/100</f>
        <v>1.92</v>
      </c>
      <c r="L732" s="64">
        <f>(F732*60)/100</f>
        <v>24</v>
      </c>
      <c r="N732" s="206"/>
    </row>
    <row r="733" spans="1:14" ht="12.75">
      <c r="A733" s="429" t="s">
        <v>16</v>
      </c>
      <c r="B733" s="430"/>
      <c r="C733" s="430"/>
      <c r="D733" s="751"/>
      <c r="E733" s="544">
        <v>0.005</v>
      </c>
      <c r="F733" s="545">
        <v>5</v>
      </c>
      <c r="G733" s="546">
        <v>300</v>
      </c>
      <c r="H733" s="756">
        <f>G733*E733</f>
        <v>1.5</v>
      </c>
      <c r="I733" s="45">
        <f>(F733*1)/100</f>
        <v>0.05</v>
      </c>
      <c r="J733" s="45">
        <f>(F733*72.5)/100</f>
        <v>3.625</v>
      </c>
      <c r="K733" s="45">
        <f>(F733*1.4)/100</f>
        <v>0.07</v>
      </c>
      <c r="L733" s="46">
        <f>(F733*662)/100</f>
        <v>33.1</v>
      </c>
      <c r="N733" s="286"/>
    </row>
    <row r="734" spans="1:12" ht="12.75">
      <c r="A734" s="102" t="s">
        <v>42</v>
      </c>
      <c r="B734" s="1148"/>
      <c r="C734" s="1148"/>
      <c r="D734" s="1149">
        <v>20</v>
      </c>
      <c r="E734" s="1150">
        <v>0.02</v>
      </c>
      <c r="F734" s="1151">
        <v>20</v>
      </c>
      <c r="G734" s="1152">
        <v>64</v>
      </c>
      <c r="H734" s="1153">
        <f>E734*G734</f>
        <v>1.28</v>
      </c>
      <c r="I734" s="294">
        <f>(F734*8)/100</f>
        <v>1.6</v>
      </c>
      <c r="J734" s="294">
        <f>(F734*1)/100</f>
        <v>0.2</v>
      </c>
      <c r="K734" s="294">
        <f>(F734*49.1)/100</f>
        <v>9.82</v>
      </c>
      <c r="L734" s="67">
        <f>(F734*238)/100</f>
        <v>47.6</v>
      </c>
    </row>
    <row r="735" spans="1:12" ht="12.75">
      <c r="A735" s="1773" t="s">
        <v>49</v>
      </c>
      <c r="B735" s="1773"/>
      <c r="C735" s="1773"/>
      <c r="D735" s="65">
        <v>200</v>
      </c>
      <c r="E735" s="21"/>
      <c r="F735" s="21"/>
      <c r="G735" s="1154"/>
      <c r="H735" s="23">
        <f>H736+H737</f>
        <v>1.3488000000000002</v>
      </c>
      <c r="I735" s="294">
        <f>SUM(I736:I737)</f>
        <v>0</v>
      </c>
      <c r="J735" s="294">
        <f>SUM(J736:J737)</f>
        <v>0</v>
      </c>
      <c r="K735" s="294">
        <f>SUM(K736:K737)</f>
        <v>11.975999999999999</v>
      </c>
      <c r="L735" s="67">
        <f>SUM(L736:L737)</f>
        <v>47.88</v>
      </c>
    </row>
    <row r="736" spans="1:12" ht="12.75">
      <c r="A736" s="68" t="s">
        <v>20</v>
      </c>
      <c r="B736" s="69"/>
      <c r="C736" s="70"/>
      <c r="D736" s="71"/>
      <c r="E736" s="760">
        <v>0.0006000000000000001</v>
      </c>
      <c r="F736" s="78">
        <v>0.6</v>
      </c>
      <c r="G736" s="79">
        <v>448</v>
      </c>
      <c r="H736" s="79">
        <f>E736*G736</f>
        <v>0.26880000000000004</v>
      </c>
      <c r="I736" s="80"/>
      <c r="J736" s="80"/>
      <c r="K736" s="80"/>
      <c r="L736" s="81"/>
    </row>
    <row r="737" spans="1:12" ht="12.75">
      <c r="A737" s="354" t="s">
        <v>17</v>
      </c>
      <c r="B737" s="355"/>
      <c r="C737" s="1155"/>
      <c r="D737" s="765"/>
      <c r="E737" s="82">
        <v>0.012</v>
      </c>
      <c r="F737" s="83">
        <v>12</v>
      </c>
      <c r="G737" s="84">
        <v>90</v>
      </c>
      <c r="H737" s="84">
        <f>E737*G737</f>
        <v>1.08</v>
      </c>
      <c r="I737" s="358"/>
      <c r="J737" s="358"/>
      <c r="K737" s="358">
        <f>(F737*99.8)/100</f>
        <v>11.975999999999999</v>
      </c>
      <c r="L737" s="359">
        <f>(F737*399)/100</f>
        <v>47.88</v>
      </c>
    </row>
    <row r="738" spans="1:12" ht="15.75">
      <c r="A738" s="1156"/>
      <c r="B738" s="1157"/>
      <c r="C738" s="1158" t="s">
        <v>50</v>
      </c>
      <c r="D738" s="1159"/>
      <c r="E738" s="1160"/>
      <c r="F738" s="1160"/>
      <c r="G738" s="1161"/>
      <c r="H738" s="1162">
        <f>H721+H730+H734+H735</f>
        <v>49.4368</v>
      </c>
      <c r="I738" s="1163"/>
      <c r="J738" s="1163"/>
      <c r="K738" s="1163"/>
      <c r="L738" s="1164"/>
    </row>
    <row r="739" spans="1:12" ht="15.75">
      <c r="A739" s="1165"/>
      <c r="B739" s="1166"/>
      <c r="C739" s="1166" t="s">
        <v>24</v>
      </c>
      <c r="D739" s="1167"/>
      <c r="E739" s="1166"/>
      <c r="F739" s="1166"/>
      <c r="G739" s="1168"/>
      <c r="H739" s="1168"/>
      <c r="I739" s="1169">
        <f>I735+I734+I730+I721</f>
        <v>19.424999999999997</v>
      </c>
      <c r="J739" s="1169">
        <f>J735+J734+J730+J721</f>
        <v>11.001</v>
      </c>
      <c r="K739" s="1169">
        <f>K735+K734+K730+K721</f>
        <v>47.538000000000004</v>
      </c>
      <c r="L739" s="1169">
        <f>L735+L734+L730+L721</f>
        <v>371.08</v>
      </c>
    </row>
    <row r="740" spans="1:12" ht="12.75">
      <c r="A740" s="382"/>
      <c r="C740" s="383"/>
      <c r="D740" s="384"/>
      <c r="E740" s="383"/>
      <c r="F740" s="383"/>
      <c r="G740" s="385"/>
      <c r="H740" s="385"/>
      <c r="I740" s="1170"/>
      <c r="J740" s="1170"/>
      <c r="K740" s="1170"/>
      <c r="L740" s="1171">
        <f>L739/1800</f>
        <v>0.20615555555555554</v>
      </c>
    </row>
    <row r="741" spans="1:12" ht="12.75">
      <c r="A741" s="394" t="s">
        <v>51</v>
      </c>
      <c r="B741" s="395"/>
      <c r="C741" s="395"/>
      <c r="D741" s="12"/>
      <c r="E741" s="396">
        <v>0.01</v>
      </c>
      <c r="F741" s="218" t="s">
        <v>52</v>
      </c>
      <c r="G741" s="397">
        <v>20</v>
      </c>
      <c r="H741" s="13">
        <f>E741*G741</f>
        <v>0.2</v>
      </c>
      <c r="I741" s="1172"/>
      <c r="J741" s="1172"/>
      <c r="K741" s="1172"/>
      <c r="L741" s="1173"/>
    </row>
    <row r="742" spans="1:12" ht="12.75">
      <c r="A742" s="401"/>
      <c r="B742" s="398"/>
      <c r="C742" s="395"/>
      <c r="D742" s="12"/>
      <c r="E742" s="395"/>
      <c r="F742" s="395"/>
      <c r="G742" s="13"/>
      <c r="H742" s="13"/>
      <c r="I742" s="1172"/>
      <c r="J742" s="1172"/>
      <c r="K742" s="1172"/>
      <c r="L742" s="1174"/>
    </row>
    <row r="743" spans="1:12" ht="15.75">
      <c r="A743" s="403"/>
      <c r="B743" s="404"/>
      <c r="C743" s="405" t="s">
        <v>53</v>
      </c>
      <c r="D743" s="406"/>
      <c r="E743" s="404"/>
      <c r="F743" s="405"/>
      <c r="G743" s="407"/>
      <c r="H743" s="407">
        <f>H741+H738+H717+H683+H676</f>
        <v>148.0186</v>
      </c>
      <c r="I743" s="1175"/>
      <c r="J743" s="1175"/>
      <c r="K743" s="1175"/>
      <c r="L743" s="1176"/>
    </row>
    <row r="744" spans="1:12" ht="12.75">
      <c r="A744" s="394"/>
      <c r="B744" s="398"/>
      <c r="C744" s="395"/>
      <c r="D744" s="12"/>
      <c r="E744" s="1177"/>
      <c r="F744" s="395" t="s">
        <v>24</v>
      </c>
      <c r="G744" s="13"/>
      <c r="H744" s="13"/>
      <c r="I744" s="1178"/>
      <c r="J744" s="1178"/>
      <c r="K744" s="1178"/>
      <c r="L744" s="1179"/>
    </row>
    <row r="745" spans="1:12" ht="12.75">
      <c r="A745" s="612" t="s">
        <v>54</v>
      </c>
      <c r="B745" s="613"/>
      <c r="C745" s="612"/>
      <c r="D745" s="614"/>
      <c r="E745" s="612"/>
      <c r="F745" s="612"/>
      <c r="G745" s="615"/>
      <c r="H745" s="615"/>
      <c r="I745" s="615">
        <f>I739+I718+I680+I677</f>
        <v>46.879</v>
      </c>
      <c r="J745" s="615">
        <f>J739+J718+J680+J677</f>
        <v>52.925</v>
      </c>
      <c r="K745" s="615">
        <f>K739+K718+K680+K677</f>
        <v>203.69469999999998</v>
      </c>
      <c r="L745" s="615">
        <f>L739+L718+L680+L677</f>
        <v>1531.936</v>
      </c>
    </row>
    <row r="746" spans="4:12" ht="12.75">
      <c r="D746" s="4"/>
      <c r="L746" s="986">
        <f>L745/1800</f>
        <v>0.8510755555555555</v>
      </c>
    </row>
    <row r="747" spans="4:12" ht="12.75">
      <c r="D747" s="4"/>
      <c r="L747" s="986"/>
    </row>
    <row r="748" spans="4:12" ht="12.75">
      <c r="D748" s="4"/>
      <c r="L748" s="986"/>
    </row>
    <row r="749" spans="4:12" ht="12.75">
      <c r="D749" s="4"/>
      <c r="L749" s="986"/>
    </row>
    <row r="750" spans="1:12" ht="15">
      <c r="A750" s="798"/>
      <c r="B750" s="798"/>
      <c r="C750" s="798"/>
      <c r="D750" s="619"/>
      <c r="E750" s="798"/>
      <c r="F750" s="798"/>
      <c r="G750" s="799"/>
      <c r="H750" s="799"/>
      <c r="I750" s="886" t="s">
        <v>168</v>
      </c>
      <c r="J750" s="796"/>
      <c r="K750" s="618"/>
      <c r="L750" s="796"/>
    </row>
    <row r="751" spans="1:12" ht="12.75">
      <c r="A751" s="618"/>
      <c r="B751" s="618"/>
      <c r="C751" s="618"/>
      <c r="D751" s="619" t="s">
        <v>1</v>
      </c>
      <c r="E751" s="618"/>
      <c r="F751" s="618"/>
      <c r="G751" s="620"/>
      <c r="H751" s="620"/>
      <c r="I751" s="621"/>
      <c r="J751" s="621"/>
      <c r="K751" s="621"/>
      <c r="L751" s="621"/>
    </row>
    <row r="752" spans="1:12" ht="25.5">
      <c r="A752" s="1787" t="s">
        <v>2</v>
      </c>
      <c r="B752" s="1787"/>
      <c r="C752" s="1787"/>
      <c r="D752" s="622" t="s">
        <v>3</v>
      </c>
      <c r="E752" s="623" t="s">
        <v>4</v>
      </c>
      <c r="F752" s="623" t="s">
        <v>5</v>
      </c>
      <c r="G752" s="624" t="s">
        <v>6</v>
      </c>
      <c r="H752" s="625" t="s">
        <v>56</v>
      </c>
      <c r="I752" s="623" t="s">
        <v>8</v>
      </c>
      <c r="J752" s="623" t="s">
        <v>9</v>
      </c>
      <c r="K752" s="801" t="s">
        <v>10</v>
      </c>
      <c r="L752" s="623" t="s">
        <v>11</v>
      </c>
    </row>
    <row r="753" spans="1:12" ht="12.75">
      <c r="A753" s="1787"/>
      <c r="B753" s="1787"/>
      <c r="C753" s="1787"/>
      <c r="D753" s="628"/>
      <c r="E753" s="629"/>
      <c r="F753" s="629"/>
      <c r="G753" s="630"/>
      <c r="H753" s="630"/>
      <c r="I753" s="629" t="s">
        <v>12</v>
      </c>
      <c r="J753" s="629"/>
      <c r="K753" s="629"/>
      <c r="L753" s="802"/>
    </row>
    <row r="754" spans="1:12" ht="12.75">
      <c r="A754" s="803"/>
      <c r="B754" s="803"/>
      <c r="C754" s="803"/>
      <c r="D754" s="207"/>
      <c r="E754" s="207"/>
      <c r="F754" s="207"/>
      <c r="G754" s="210"/>
      <c r="H754" s="210"/>
      <c r="I754" s="207"/>
      <c r="J754" s="207"/>
      <c r="K754" s="207"/>
      <c r="L754" s="207"/>
    </row>
    <row r="755" spans="1:12" ht="12.75">
      <c r="A755" s="634"/>
      <c r="B755" s="634"/>
      <c r="C755" s="634"/>
      <c r="D755" s="207"/>
      <c r="E755" s="634"/>
      <c r="F755" s="634"/>
      <c r="G755" s="210"/>
      <c r="H755" s="210"/>
      <c r="I755" s="207" t="s">
        <v>57</v>
      </c>
      <c r="J755" s="207" t="s">
        <v>58</v>
      </c>
      <c r="K755" s="634"/>
      <c r="L755" s="207"/>
    </row>
    <row r="756" spans="1:14" ht="12.75">
      <c r="A756" s="1773" t="s">
        <v>169</v>
      </c>
      <c r="B756" s="1773"/>
      <c r="C756" s="1773"/>
      <c r="D756" s="20">
        <v>200</v>
      </c>
      <c r="E756" s="21"/>
      <c r="F756" s="21"/>
      <c r="G756" s="22"/>
      <c r="H756" s="23">
        <f>H757+H759+H761+H760+H758</f>
        <v>14.229999999999999</v>
      </c>
      <c r="I756" s="24">
        <f>SUM(I757:I761)</f>
        <v>6.6499999999999995</v>
      </c>
      <c r="J756" s="24">
        <f>SUM(J757:J761)</f>
        <v>7.805</v>
      </c>
      <c r="K756" s="24">
        <f>SUM(K757:K761)</f>
        <v>25.312</v>
      </c>
      <c r="L756" s="24">
        <f>SUM(L757:L761)</f>
        <v>206.56</v>
      </c>
      <c r="N756" s="206"/>
    </row>
    <row r="757" spans="1:14" ht="12.75">
      <c r="A757" s="429" t="s">
        <v>60</v>
      </c>
      <c r="B757" s="430"/>
      <c r="C757" s="431"/>
      <c r="D757" s="432"/>
      <c r="E757" s="433">
        <v>0.01</v>
      </c>
      <c r="F757" s="434">
        <v>10</v>
      </c>
      <c r="G757" s="32">
        <v>64</v>
      </c>
      <c r="H757" s="33">
        <f>E757*G757</f>
        <v>0.64</v>
      </c>
      <c r="I757" s="435">
        <f>(F757*11.5)/100</f>
        <v>1.15</v>
      </c>
      <c r="J757" s="435">
        <f>(F757*3.3)/100</f>
        <v>0.33</v>
      </c>
      <c r="K757" s="435">
        <f>(66.5*F757)/100</f>
        <v>6.65</v>
      </c>
      <c r="L757" s="436">
        <f>(342*F757)/100</f>
        <v>34.2</v>
      </c>
      <c r="N757" s="221"/>
    </row>
    <row r="758" spans="1:14" ht="12.75">
      <c r="A758" s="27" t="s">
        <v>92</v>
      </c>
      <c r="B758" s="28"/>
      <c r="C758" s="28"/>
      <c r="D758" s="29"/>
      <c r="E758" s="30">
        <v>0.01</v>
      </c>
      <c r="F758" s="31">
        <v>10</v>
      </c>
      <c r="G758" s="214">
        <v>93</v>
      </c>
      <c r="H758" s="215">
        <f>G758*E758</f>
        <v>0.93</v>
      </c>
      <c r="I758" s="1180">
        <f>(11*F758)/100</f>
        <v>1.1</v>
      </c>
      <c r="J758" s="1181">
        <f>(F758*1)/100</f>
        <v>0.1</v>
      </c>
      <c r="K758" s="1181">
        <f>(74*F758)/100</f>
        <v>7.4</v>
      </c>
      <c r="L758" s="1182">
        <f>(F758*333)/100</f>
        <v>33.3</v>
      </c>
      <c r="N758" s="221"/>
    </row>
    <row r="759" spans="1:14" ht="12.75">
      <c r="A759" s="37" t="s">
        <v>16</v>
      </c>
      <c r="B759" s="38"/>
      <c r="C759" s="39"/>
      <c r="D759" s="40"/>
      <c r="E759" s="41">
        <v>0.005</v>
      </c>
      <c r="F759" s="42">
        <v>5</v>
      </c>
      <c r="G759" s="43">
        <v>300</v>
      </c>
      <c r="H759" s="44">
        <f>E759*G759</f>
        <v>1.5</v>
      </c>
      <c r="I759" s="45">
        <f>(F759*1)/100</f>
        <v>0.05</v>
      </c>
      <c r="J759" s="45">
        <f>(F759*72.5)/100</f>
        <v>3.625</v>
      </c>
      <c r="K759" s="45">
        <f>(F759*1.4)/100</f>
        <v>0.07</v>
      </c>
      <c r="L759" s="46">
        <f>(F759*662)/100</f>
        <v>33.1</v>
      </c>
      <c r="N759" s="221"/>
    </row>
    <row r="760" spans="1:14" ht="12.75">
      <c r="A760" s="47" t="s">
        <v>17</v>
      </c>
      <c r="B760" s="48"/>
      <c r="C760" s="49"/>
      <c r="D760" s="50"/>
      <c r="E760" s="51">
        <v>0.004</v>
      </c>
      <c r="F760" s="52">
        <v>4</v>
      </c>
      <c r="G760" s="53">
        <v>90</v>
      </c>
      <c r="H760" s="53">
        <f>E760*G760</f>
        <v>0.36</v>
      </c>
      <c r="I760" s="54"/>
      <c r="J760" s="54"/>
      <c r="K760" s="54">
        <f>(F760*99.8)/100</f>
        <v>3.992</v>
      </c>
      <c r="L760" s="55">
        <f>(F760*399)/100</f>
        <v>15.96</v>
      </c>
      <c r="N760" s="221"/>
    </row>
    <row r="761" spans="1:14" ht="12.75">
      <c r="A761" s="1183" t="s">
        <v>18</v>
      </c>
      <c r="B761" s="1184"/>
      <c r="C761" s="1184"/>
      <c r="D761" s="1050"/>
      <c r="E761" s="1185">
        <v>0.15</v>
      </c>
      <c r="F761" s="1186">
        <v>150</v>
      </c>
      <c r="G761" s="642">
        <v>72</v>
      </c>
      <c r="H761" s="444">
        <f>E761*G761</f>
        <v>10.799999999999999</v>
      </c>
      <c r="I761" s="1187">
        <f>(2.9*F761)/100</f>
        <v>4.35</v>
      </c>
      <c r="J761" s="1187">
        <f>(F761*2.5)/100</f>
        <v>3.75</v>
      </c>
      <c r="K761" s="1187">
        <f>(4.8*F761)/100</f>
        <v>7.2</v>
      </c>
      <c r="L761" s="1188">
        <f>(F761*60)/100</f>
        <v>90</v>
      </c>
      <c r="N761" s="221"/>
    </row>
    <row r="762" spans="1:14" ht="12.75">
      <c r="A762" s="1781" t="s">
        <v>49</v>
      </c>
      <c r="B762" s="1781"/>
      <c r="C762" s="1781"/>
      <c r="D762" s="347">
        <v>200</v>
      </c>
      <c r="E762" s="178"/>
      <c r="F762" s="180"/>
      <c r="G762" s="180"/>
      <c r="H762" s="348">
        <f>H763+H764</f>
        <v>1.3488000000000002</v>
      </c>
      <c r="I762" s="181">
        <f>SUM(I763:I764)</f>
        <v>0</v>
      </c>
      <c r="J762" s="181">
        <f>SUM(J763:J764)</f>
        <v>0</v>
      </c>
      <c r="K762" s="181">
        <f>SUM(K763:K764)</f>
        <v>11.975999999999999</v>
      </c>
      <c r="L762" s="349">
        <f>SUM(L763:L764)</f>
        <v>47.88</v>
      </c>
      <c r="N762" s="221"/>
    </row>
    <row r="763" spans="1:14" ht="12.75">
      <c r="A763" s="1782" t="s">
        <v>20</v>
      </c>
      <c r="B763" s="1782"/>
      <c r="C763" s="1782"/>
      <c r="D763" s="351"/>
      <c r="E763" s="72">
        <v>0.0006000000000000001</v>
      </c>
      <c r="F763" s="352">
        <v>0.6</v>
      </c>
      <c r="G763" s="74">
        <v>448</v>
      </c>
      <c r="H763" s="75">
        <f>G763*E763</f>
        <v>0.26880000000000004</v>
      </c>
      <c r="I763" s="75"/>
      <c r="J763" s="75"/>
      <c r="K763" s="75"/>
      <c r="L763" s="353"/>
      <c r="N763" s="221"/>
    </row>
    <row r="764" spans="1:14" ht="12.75">
      <c r="A764" s="354" t="s">
        <v>17</v>
      </c>
      <c r="B764" s="355"/>
      <c r="C764" s="355"/>
      <c r="D764" s="356"/>
      <c r="E764" s="82">
        <v>0.012</v>
      </c>
      <c r="F764" s="357">
        <v>12</v>
      </c>
      <c r="G764" s="84">
        <v>90</v>
      </c>
      <c r="H764" s="358">
        <f>G764*E764</f>
        <v>1.08</v>
      </c>
      <c r="I764" s="358"/>
      <c r="J764" s="358"/>
      <c r="K764" s="358">
        <f>(F764*99.8)/100</f>
        <v>11.975999999999999</v>
      </c>
      <c r="L764" s="359">
        <f>(F764*399)/100</f>
        <v>47.88</v>
      </c>
      <c r="N764" s="221"/>
    </row>
    <row r="765" spans="1:14" ht="12.75">
      <c r="A765" s="318"/>
      <c r="B765" s="319"/>
      <c r="C765" s="319"/>
      <c r="D765" s="1043"/>
      <c r="E765" s="717"/>
      <c r="F765" s="342"/>
      <c r="G765" s="507"/>
      <c r="H765" s="112"/>
      <c r="I765" s="54"/>
      <c r="J765" s="54"/>
      <c r="K765" s="54"/>
      <c r="L765" s="55"/>
      <c r="N765" s="221"/>
    </row>
    <row r="766" spans="1:14" ht="12.75">
      <c r="A766" s="1774" t="s">
        <v>93</v>
      </c>
      <c r="B766" s="1774"/>
      <c r="C766" s="1774"/>
      <c r="D766" s="645" t="s">
        <v>94</v>
      </c>
      <c r="E766" s="235"/>
      <c r="F766" s="236"/>
      <c r="G766" s="137"/>
      <c r="H766" s="138">
        <f>H767+H769+H768</f>
        <v>3.9899999999999998</v>
      </c>
      <c r="I766" s="139">
        <f>SUM(I767:I769)</f>
        <v>2.25</v>
      </c>
      <c r="J766" s="139">
        <f>SUM(J767:J769)</f>
        <v>2.94</v>
      </c>
      <c r="K766" s="139">
        <f>SUM(K767:K769)</f>
        <v>22.32</v>
      </c>
      <c r="L766" s="140">
        <f>SUM(L767:L769)</f>
        <v>125.1</v>
      </c>
      <c r="N766" s="634"/>
    </row>
    <row r="767" spans="1:12" ht="12.75">
      <c r="A767" s="1788" t="s">
        <v>93</v>
      </c>
      <c r="B767" s="1788"/>
      <c r="C767" s="1788"/>
      <c r="D767" s="646"/>
      <c r="E767" s="647">
        <v>0.03</v>
      </c>
      <c r="F767" s="648">
        <v>30</v>
      </c>
      <c r="G767" s="91">
        <v>133</v>
      </c>
      <c r="H767" s="91">
        <f>E767*G767</f>
        <v>3.9899999999999998</v>
      </c>
      <c r="I767" s="93">
        <v>2.25</v>
      </c>
      <c r="J767" s="93">
        <v>2.94</v>
      </c>
      <c r="K767" s="93">
        <v>22.32</v>
      </c>
      <c r="L767" s="94">
        <v>125.1</v>
      </c>
    </row>
    <row r="768" spans="1:12" ht="12.75">
      <c r="A768" s="437"/>
      <c r="B768" s="438"/>
      <c r="C768" s="439"/>
      <c r="D768" s="440"/>
      <c r="E768" s="441"/>
      <c r="F768" s="442"/>
      <c r="G768" s="461"/>
      <c r="H768" s="461"/>
      <c r="I768" s="461"/>
      <c r="J768" s="461"/>
      <c r="K768" s="461"/>
      <c r="L768" s="462"/>
    </row>
    <row r="769" spans="1:12" ht="12.75">
      <c r="A769" s="1189"/>
      <c r="B769" s="1190"/>
      <c r="C769" s="1190"/>
      <c r="D769" s="1191"/>
      <c r="E769" s="1192"/>
      <c r="F769" s="1193"/>
      <c r="G769" s="1132"/>
      <c r="H769" s="1132"/>
      <c r="I769" s="461"/>
      <c r="J769" s="461"/>
      <c r="K769" s="461"/>
      <c r="L769" s="462"/>
    </row>
    <row r="770" spans="1:12" ht="15.75">
      <c r="A770" s="1194" t="s">
        <v>23</v>
      </c>
      <c r="B770" s="1195"/>
      <c r="C770" s="1195"/>
      <c r="D770" s="1196"/>
      <c r="E770" s="1197"/>
      <c r="F770" s="1196"/>
      <c r="G770" s="1198"/>
      <c r="H770" s="1198">
        <f>H766+H762+H756</f>
        <v>19.5688</v>
      </c>
      <c r="I770" s="1199"/>
      <c r="J770" s="1199"/>
      <c r="K770" s="1200"/>
      <c r="L770" s="1201"/>
    </row>
    <row r="771" spans="1:12" ht="15.75">
      <c r="A771" s="1202"/>
      <c r="B771" s="1203" t="s">
        <v>24</v>
      </c>
      <c r="C771" s="1204"/>
      <c r="D771" s="1205"/>
      <c r="E771" s="1206"/>
      <c r="F771" s="1205"/>
      <c r="G771" s="1207"/>
      <c r="H771" s="1207"/>
      <c r="I771" s="1208">
        <f>I766+I762+I756</f>
        <v>8.899999999999999</v>
      </c>
      <c r="J771" s="1208">
        <f>J766+J762+J756</f>
        <v>10.745</v>
      </c>
      <c r="K771" s="1208">
        <f>K766+K762+K756</f>
        <v>59.608000000000004</v>
      </c>
      <c r="L771" s="1208">
        <f>L766+L762+L756</f>
        <v>379.53999999999996</v>
      </c>
    </row>
    <row r="772" spans="1:12" ht="12.75">
      <c r="A772" s="206"/>
      <c r="B772" s="206"/>
      <c r="C772" s="206"/>
      <c r="D772" s="207"/>
      <c r="E772" s="671"/>
      <c r="F772" s="207"/>
      <c r="G772" s="210"/>
      <c r="H772" s="210"/>
      <c r="I772" s="211"/>
      <c r="J772" s="211"/>
      <c r="K772" s="672"/>
      <c r="L772" s="672">
        <f>L771/1800</f>
        <v>0.21085555555555555</v>
      </c>
    </row>
    <row r="773" spans="1:12" ht="12.75">
      <c r="A773" s="209"/>
      <c r="B773" s="211" t="s">
        <v>66</v>
      </c>
      <c r="C773" s="223"/>
      <c r="D773" s="208"/>
      <c r="E773" s="208"/>
      <c r="F773" s="208"/>
      <c r="G773" s="209"/>
      <c r="H773" s="209"/>
      <c r="I773" s="211"/>
      <c r="J773" s="223"/>
      <c r="K773" s="673"/>
      <c r="L773" s="223"/>
    </row>
    <row r="774" spans="1:12" ht="12.75">
      <c r="A774" s="1805" t="s">
        <v>170</v>
      </c>
      <c r="B774" s="1805"/>
      <c r="C774" s="1805"/>
      <c r="D774" s="234">
        <v>200</v>
      </c>
      <c r="E774" s="236"/>
      <c r="F774" s="236"/>
      <c r="G774" s="137"/>
      <c r="H774" s="138">
        <f>H775+H776</f>
        <v>6.77</v>
      </c>
      <c r="I774" s="108">
        <f>I776</f>
        <v>0</v>
      </c>
      <c r="J774" s="108">
        <f>J776</f>
        <v>0</v>
      </c>
      <c r="K774" s="108">
        <f>K776</f>
        <v>2.9939999999999998</v>
      </c>
      <c r="L774" s="108">
        <f>L776</f>
        <v>11.97</v>
      </c>
    </row>
    <row r="775" spans="1:12" ht="12.75">
      <c r="A775" s="593" t="s">
        <v>171</v>
      </c>
      <c r="B775" s="337"/>
      <c r="C775" s="96"/>
      <c r="D775" s="50"/>
      <c r="E775" s="95">
        <v>0.01</v>
      </c>
      <c r="F775" s="96">
        <v>10</v>
      </c>
      <c r="G775" s="97">
        <v>650</v>
      </c>
      <c r="H775" s="1209">
        <f>G775*E775</f>
        <v>6.5</v>
      </c>
      <c r="I775" s="54"/>
      <c r="J775" s="54"/>
      <c r="K775" s="54"/>
      <c r="L775" s="1210"/>
    </row>
    <row r="776" spans="1:12" ht="12.75">
      <c r="A776" s="593" t="s">
        <v>17</v>
      </c>
      <c r="B776" s="337"/>
      <c r="C776" s="96"/>
      <c r="D776" s="50"/>
      <c r="E776" s="95">
        <v>0.003</v>
      </c>
      <c r="F776" s="96">
        <v>3</v>
      </c>
      <c r="G776" s="97">
        <v>90</v>
      </c>
      <c r="H776" s="97">
        <f>E776*G776</f>
        <v>0.27</v>
      </c>
      <c r="I776" s="80"/>
      <c r="J776" s="80"/>
      <c r="K776" s="80">
        <f>(F776*99.8)/100</f>
        <v>2.9939999999999998</v>
      </c>
      <c r="L776" s="81">
        <f>(F776*399)/100</f>
        <v>11.97</v>
      </c>
    </row>
    <row r="777" spans="1:12" ht="12.75">
      <c r="A777" s="1211" t="s">
        <v>172</v>
      </c>
      <c r="B777" s="477"/>
      <c r="C777" s="477"/>
      <c r="D777" s="1135"/>
      <c r="E777" s="476">
        <v>0.19</v>
      </c>
      <c r="F777" s="477">
        <v>190</v>
      </c>
      <c r="G777" s="478"/>
      <c r="H777" s="1212"/>
      <c r="I777" s="1213"/>
      <c r="J777" s="1135"/>
      <c r="K777" s="1213"/>
      <c r="L777" s="1214"/>
    </row>
    <row r="778" spans="1:12" ht="12.75">
      <c r="A778" s="19"/>
      <c r="B778" s="28"/>
      <c r="C778" s="28"/>
      <c r="D778" s="16"/>
      <c r="E778" s="270"/>
      <c r="F778" s="28"/>
      <c r="G778" s="150"/>
      <c r="H778" s="17"/>
      <c r="I778" s="19"/>
      <c r="J778" s="16"/>
      <c r="K778" s="19"/>
      <c r="L778" s="1215"/>
    </row>
    <row r="779" spans="1:12" ht="15.75">
      <c r="A779" s="770" t="s">
        <v>27</v>
      </c>
      <c r="B779" s="771"/>
      <c r="C779" s="1216"/>
      <c r="D779" s="1217"/>
      <c r="E779" s="1217"/>
      <c r="F779" s="1217"/>
      <c r="G779" s="772"/>
      <c r="H779" s="660">
        <f>H774</f>
        <v>6.77</v>
      </c>
      <c r="I779" s="1217"/>
      <c r="J779" s="1217"/>
      <c r="K779" s="1217"/>
      <c r="L779" s="1218"/>
    </row>
    <row r="780" spans="1:12" ht="15.75">
      <c r="A780" s="1219"/>
      <c r="B780" s="1220" t="s">
        <v>24</v>
      </c>
      <c r="C780" s="1220"/>
      <c r="D780" s="1221"/>
      <c r="E780" s="1221"/>
      <c r="F780" s="1221"/>
      <c r="G780" s="1222"/>
      <c r="H780" s="1222"/>
      <c r="I780" s="1223"/>
      <c r="J780" s="1223"/>
      <c r="K780" s="1223"/>
      <c r="L780" s="1223"/>
    </row>
    <row r="781" spans="1:12" ht="12.75">
      <c r="A781" s="207" t="s">
        <v>67</v>
      </c>
      <c r="B781" s="207" t="s">
        <v>68</v>
      </c>
      <c r="C781" s="57"/>
      <c r="D781" s="208"/>
      <c r="E781" s="208"/>
      <c r="F781" s="208"/>
      <c r="G781" s="209"/>
      <c r="H781" s="209"/>
      <c r="I781" s="207"/>
      <c r="J781" s="207"/>
      <c r="K781" s="208"/>
      <c r="L781" s="1224"/>
    </row>
    <row r="782" spans="1:14" ht="12.75">
      <c r="A782" s="1791" t="s">
        <v>173</v>
      </c>
      <c r="B782" s="1791"/>
      <c r="C782" s="1791"/>
      <c r="D782" s="829">
        <v>250</v>
      </c>
      <c r="E782" s="693"/>
      <c r="F782" s="104"/>
      <c r="G782" s="105"/>
      <c r="H782" s="106">
        <f>SUM(H783:H790)</f>
        <v>13.324000000000002</v>
      </c>
      <c r="I782" s="577">
        <f>SUM(I783:I789)</f>
        <v>2.624</v>
      </c>
      <c r="J782" s="577">
        <f>SUM(J783:J789)</f>
        <v>4.492999999999999</v>
      </c>
      <c r="K782" s="577">
        <f>SUM(K783:K789)</f>
        <v>13.883999999999999</v>
      </c>
      <c r="L782" s="577">
        <f>SUM(L783:L789)</f>
        <v>107.55999999999999</v>
      </c>
      <c r="N782" s="830"/>
    </row>
    <row r="783" spans="1:26" ht="26.25" customHeight="1">
      <c r="A783" s="340" t="s">
        <v>174</v>
      </c>
      <c r="B783" s="493"/>
      <c r="C783" s="493"/>
      <c r="D783" s="515"/>
      <c r="E783" s="190"/>
      <c r="F783" s="191"/>
      <c r="G783" s="192"/>
      <c r="H783" s="193"/>
      <c r="I783" s="495"/>
      <c r="J783" s="495"/>
      <c r="K783" s="495"/>
      <c r="L783" s="496"/>
      <c r="N783" s="221"/>
      <c r="O783" s="830"/>
      <c r="P783" s="830"/>
      <c r="Q783" s="314"/>
      <c r="R783" s="831"/>
      <c r="S783" s="831"/>
      <c r="T783" s="267"/>
      <c r="U783" s="316"/>
      <c r="V783" s="314"/>
      <c r="W783" s="314"/>
      <c r="X783" s="314"/>
      <c r="Y783" s="314"/>
      <c r="Z783" s="317"/>
    </row>
    <row r="784" spans="1:26" ht="12.75">
      <c r="A784" s="340" t="s">
        <v>16</v>
      </c>
      <c r="B784" s="493"/>
      <c r="C784" s="493"/>
      <c r="D784" s="832"/>
      <c r="E784" s="498">
        <v>0.003</v>
      </c>
      <c r="F784" s="435">
        <v>3</v>
      </c>
      <c r="G784" s="32">
        <v>300</v>
      </c>
      <c r="H784" s="33">
        <f>E784*G784</f>
        <v>0.9</v>
      </c>
      <c r="I784" s="45">
        <f>(F784*1)/100</f>
        <v>0.03</v>
      </c>
      <c r="J784" s="45">
        <f>(F784*72.5)/100</f>
        <v>2.175</v>
      </c>
      <c r="K784" s="45">
        <f>(F784*1.4)/100</f>
        <v>0.041999999999999996</v>
      </c>
      <c r="L784" s="46">
        <f>(F784*662)/100</f>
        <v>19.86</v>
      </c>
      <c r="N784" s="221"/>
      <c r="O784" s="57"/>
      <c r="P784" s="57"/>
      <c r="Q784" s="207"/>
      <c r="R784" s="222"/>
      <c r="S784" s="223"/>
      <c r="T784" s="209"/>
      <c r="U784" s="224"/>
      <c r="V784" s="152"/>
      <c r="W784" s="152"/>
      <c r="X784" s="152"/>
      <c r="Y784" s="152"/>
      <c r="Z784" s="291"/>
    </row>
    <row r="785" spans="1:26" ht="12.75">
      <c r="A785" s="508" t="s">
        <v>72</v>
      </c>
      <c r="B785" s="509"/>
      <c r="C785" s="509"/>
      <c r="D785" s="833"/>
      <c r="E785" s="510">
        <v>0.01</v>
      </c>
      <c r="F785" s="511">
        <v>10</v>
      </c>
      <c r="G785" s="501">
        <v>156</v>
      </c>
      <c r="H785" s="501">
        <f>E785*G785</f>
        <v>1.56</v>
      </c>
      <c r="I785" s="834">
        <f>(2.5*F785)/100</f>
        <v>0.25</v>
      </c>
      <c r="J785" s="834">
        <f>(20*F785)/100</f>
        <v>2</v>
      </c>
      <c r="K785" s="834">
        <f>(3.4*F785)/100</f>
        <v>0.34</v>
      </c>
      <c r="L785" s="220">
        <f>(206*F785)/100</f>
        <v>20.6</v>
      </c>
      <c r="N785" s="837"/>
      <c r="O785" s="57"/>
      <c r="P785" s="57"/>
      <c r="Q785" s="207"/>
      <c r="R785" s="222"/>
      <c r="S785" s="223"/>
      <c r="T785" s="209"/>
      <c r="U785" s="224"/>
      <c r="V785" s="233"/>
      <c r="W785" s="233"/>
      <c r="X785" s="233"/>
      <c r="Y785" s="233"/>
      <c r="Z785" s="233"/>
    </row>
    <row r="786" spans="1:26" ht="12.75">
      <c r="A786" s="340" t="s">
        <v>32</v>
      </c>
      <c r="B786" s="493"/>
      <c r="C786" s="493"/>
      <c r="D786" s="832"/>
      <c r="E786" s="835">
        <v>0.1</v>
      </c>
      <c r="F786" s="85">
        <v>60</v>
      </c>
      <c r="G786" s="535">
        <v>56</v>
      </c>
      <c r="H786" s="501">
        <f>E786*G786</f>
        <v>5.6000000000000005</v>
      </c>
      <c r="I786" s="213">
        <f>(F786*2)/100</f>
        <v>1.2</v>
      </c>
      <c r="J786" s="213">
        <f>(F786*0.4)/100</f>
        <v>0.24</v>
      </c>
      <c r="K786" s="213">
        <f>(F786*16.3)/100</f>
        <v>9.78</v>
      </c>
      <c r="L786" s="216">
        <f>(F786*77)/100</f>
        <v>46.2</v>
      </c>
      <c r="N786" s="221"/>
      <c r="O786" s="837"/>
      <c r="P786" s="837"/>
      <c r="Q786" s="247"/>
      <c r="R786" s="838"/>
      <c r="S786" s="221"/>
      <c r="T786" s="224"/>
      <c r="U786" s="224"/>
      <c r="V786" s="237"/>
      <c r="W786" s="237"/>
      <c r="X786" s="237"/>
      <c r="Y786" s="237"/>
      <c r="Z786" s="269"/>
    </row>
    <row r="787" spans="1:26" ht="12.75">
      <c r="A787" s="340" t="s">
        <v>38</v>
      </c>
      <c r="B787" s="493"/>
      <c r="C787" s="493"/>
      <c r="D787" s="832"/>
      <c r="E787" s="498">
        <v>0.063</v>
      </c>
      <c r="F787" s="435">
        <v>50</v>
      </c>
      <c r="G787" s="32">
        <v>56</v>
      </c>
      <c r="H787" s="33">
        <f>E787*G787</f>
        <v>3.528</v>
      </c>
      <c r="I787" s="85">
        <f>(1.8*F787)/100</f>
        <v>0.9</v>
      </c>
      <c r="J787" s="85">
        <f>(F787*0.1)/100</f>
        <v>0.05</v>
      </c>
      <c r="K787" s="85">
        <f>(F787*4.7)/100</f>
        <v>2.35</v>
      </c>
      <c r="L787" s="86">
        <f>(F787*28)/100</f>
        <v>14</v>
      </c>
      <c r="N787" s="221"/>
      <c r="O787" s="57"/>
      <c r="P787" s="57"/>
      <c r="Q787" s="207"/>
      <c r="R787" s="222"/>
      <c r="S787" s="223"/>
      <c r="T787" s="209"/>
      <c r="U787" s="224"/>
      <c r="V787" s="223"/>
      <c r="W787" s="223"/>
      <c r="X787" s="223"/>
      <c r="Y787" s="223"/>
      <c r="Z787" s="269"/>
    </row>
    <row r="788" spans="1:26" ht="12.75">
      <c r="A788" s="340" t="s">
        <v>33</v>
      </c>
      <c r="B788" s="341"/>
      <c r="C788" s="341"/>
      <c r="D788" s="520"/>
      <c r="E788" s="212">
        <v>0.012</v>
      </c>
      <c r="F788" s="213">
        <v>10</v>
      </c>
      <c r="G788" s="214">
        <v>63</v>
      </c>
      <c r="H788" s="215">
        <f>E788*G788</f>
        <v>0.756</v>
      </c>
      <c r="I788" s="213">
        <f>(F788*1.4)/100</f>
        <v>0.14</v>
      </c>
      <c r="J788" s="213">
        <f>(F788*0.2)/100</f>
        <v>0.02</v>
      </c>
      <c r="K788" s="213">
        <f>(F788*8.2)/100</f>
        <v>0.82</v>
      </c>
      <c r="L788" s="216">
        <f>(F788*41)/100</f>
        <v>4.1</v>
      </c>
      <c r="N788" s="221"/>
      <c r="O788" s="57"/>
      <c r="P788" s="57"/>
      <c r="Q788" s="207"/>
      <c r="R788" s="222"/>
      <c r="S788" s="223"/>
      <c r="T788" s="209"/>
      <c r="U788" s="224"/>
      <c r="V788" s="223"/>
      <c r="W788" s="223"/>
      <c r="X788" s="223"/>
      <c r="Y788" s="223"/>
      <c r="Z788" s="269"/>
    </row>
    <row r="789" spans="1:26" ht="12.75">
      <c r="A789" s="340" t="s">
        <v>34</v>
      </c>
      <c r="B789" s="341"/>
      <c r="C789" s="341"/>
      <c r="D789" s="836"/>
      <c r="E789" s="212">
        <v>0.014</v>
      </c>
      <c r="F789" s="213">
        <v>8</v>
      </c>
      <c r="G789" s="214">
        <v>70</v>
      </c>
      <c r="H789" s="215">
        <f>G789*E789</f>
        <v>0.98</v>
      </c>
      <c r="I789" s="213">
        <f>(F789*1.3)/100</f>
        <v>0.10400000000000001</v>
      </c>
      <c r="J789" s="213">
        <f>(F789*0.1)/100</f>
        <v>0.008</v>
      </c>
      <c r="K789" s="213">
        <f>(F789*6.9)/100</f>
        <v>0.552</v>
      </c>
      <c r="L789" s="220">
        <f>(F789*35)/100</f>
        <v>2.8</v>
      </c>
      <c r="N789" s="221"/>
      <c r="O789" s="221"/>
      <c r="P789" s="221"/>
      <c r="Q789" s="247"/>
      <c r="R789" s="222"/>
      <c r="S789" s="223"/>
      <c r="T789" s="209"/>
      <c r="U789" s="224"/>
      <c r="V789" s="223"/>
      <c r="W789" s="223"/>
      <c r="X789" s="223"/>
      <c r="Y789" s="223"/>
      <c r="Z789" s="269"/>
    </row>
    <row r="790" spans="1:26" ht="12.75">
      <c r="A790" s="566"/>
      <c r="B790" s="567"/>
      <c r="C790" s="567"/>
      <c r="D790" s="568"/>
      <c r="E790" s="1049"/>
      <c r="F790" s="442"/>
      <c r="G790" s="443"/>
      <c r="H790" s="443"/>
      <c r="I790" s="1050"/>
      <c r="J790" s="1050"/>
      <c r="K790" s="1050"/>
      <c r="L790" s="1051"/>
      <c r="N790" s="221"/>
      <c r="O790" s="221"/>
      <c r="P790" s="221"/>
      <c r="Q790" s="247"/>
      <c r="R790" s="222"/>
      <c r="S790" s="223"/>
      <c r="T790" s="209"/>
      <c r="U790" s="224"/>
      <c r="V790" s="223"/>
      <c r="W790" s="223"/>
      <c r="X790" s="223"/>
      <c r="Y790" s="237"/>
      <c r="Z790" s="269"/>
    </row>
    <row r="791" spans="1:26" ht="12.75">
      <c r="A791" s="1813" t="s">
        <v>175</v>
      </c>
      <c r="B791" s="1813"/>
      <c r="C791" s="1813"/>
      <c r="D791" s="839">
        <v>200</v>
      </c>
      <c r="E791" s="236"/>
      <c r="F791" s="236"/>
      <c r="G791" s="137"/>
      <c r="H791" s="138">
        <f>H792+H793+H794+H795+H796+H797</f>
        <v>34.336</v>
      </c>
      <c r="I791" s="140">
        <f>SUM(I792:I797)</f>
        <v>5.3260000000000005</v>
      </c>
      <c r="J791" s="140">
        <f>SUM(J792:J797)</f>
        <v>21.105000000000004</v>
      </c>
      <c r="K791" s="140">
        <f>SUM(K792:K797)</f>
        <v>27.578</v>
      </c>
      <c r="L791" s="140">
        <f>SUM(L792:L797)</f>
        <v>356.39000000000004</v>
      </c>
      <c r="M791" s="345"/>
      <c r="N791" s="264"/>
      <c r="O791" s="221"/>
      <c r="P791" s="221"/>
      <c r="Q791" s="247"/>
      <c r="R791" s="1052"/>
      <c r="S791" s="57"/>
      <c r="T791" s="209"/>
      <c r="U791" s="209"/>
      <c r="V791" s="207"/>
      <c r="W791" s="207"/>
      <c r="X791" s="207"/>
      <c r="Y791" s="207"/>
      <c r="Z791" s="268"/>
    </row>
    <row r="792" spans="1:14" ht="22.5" customHeight="1">
      <c r="A792" s="340" t="s">
        <v>75</v>
      </c>
      <c r="B792" s="493"/>
      <c r="C792" s="493"/>
      <c r="D792" s="515"/>
      <c r="E792" s="190">
        <v>0.1</v>
      </c>
      <c r="F792" s="191">
        <v>75</v>
      </c>
      <c r="G792" s="192">
        <v>240</v>
      </c>
      <c r="H792" s="193">
        <f aca="true" t="shared" si="4" ref="H792:H797">G792*E792</f>
        <v>24</v>
      </c>
      <c r="I792" s="495"/>
      <c r="J792" s="495">
        <f>(F792*16)/100</f>
        <v>12</v>
      </c>
      <c r="K792" s="495"/>
      <c r="L792" s="496">
        <f>(F792*190)/100</f>
        <v>142.5</v>
      </c>
      <c r="M792" s="345"/>
      <c r="N792" s="264"/>
    </row>
    <row r="793" spans="1:14" ht="12.75">
      <c r="A793" s="47" t="s">
        <v>37</v>
      </c>
      <c r="B793" s="48"/>
      <c r="C793" s="48"/>
      <c r="D793" s="840"/>
      <c r="E793" s="51">
        <v>0.004</v>
      </c>
      <c r="F793" s="52">
        <v>4</v>
      </c>
      <c r="G793" s="53">
        <v>129</v>
      </c>
      <c r="H793" s="144">
        <f t="shared" si="4"/>
        <v>0.516</v>
      </c>
      <c r="I793" s="257"/>
      <c r="J793" s="258">
        <f>(F793*99.9)/100</f>
        <v>3.9960000000000004</v>
      </c>
      <c r="K793" s="54"/>
      <c r="L793" s="259">
        <f>(F793*899)/100</f>
        <v>35.96</v>
      </c>
      <c r="N793" s="264"/>
    </row>
    <row r="794" spans="1:14" ht="12.75">
      <c r="A794" s="47" t="s">
        <v>33</v>
      </c>
      <c r="B794" s="48"/>
      <c r="C794" s="48"/>
      <c r="D794" s="840"/>
      <c r="E794" s="51">
        <v>0.015</v>
      </c>
      <c r="F794" s="52">
        <v>13</v>
      </c>
      <c r="G794" s="53">
        <v>63</v>
      </c>
      <c r="H794" s="144">
        <f t="shared" si="4"/>
        <v>0.945</v>
      </c>
      <c r="I794" s="204">
        <f>(F794*1.4)/100</f>
        <v>0.182</v>
      </c>
      <c r="J794" s="204">
        <f>(F794*0.2)/100</f>
        <v>0.026000000000000002</v>
      </c>
      <c r="K794" s="204">
        <f>(F794*8.2)/100</f>
        <v>1.0659999999999998</v>
      </c>
      <c r="L794" s="205">
        <f>(F794*41)/100</f>
        <v>5.33</v>
      </c>
      <c r="N794" s="264"/>
    </row>
    <row r="795" spans="1:14" ht="12.75">
      <c r="A795" s="47" t="s">
        <v>34</v>
      </c>
      <c r="B795" s="48"/>
      <c r="C795" s="48"/>
      <c r="D795" s="840"/>
      <c r="E795" s="51">
        <v>0.025</v>
      </c>
      <c r="F795" s="52">
        <v>18</v>
      </c>
      <c r="G795" s="53">
        <v>70</v>
      </c>
      <c r="H795" s="144">
        <f t="shared" si="4"/>
        <v>1.75</v>
      </c>
      <c r="I795" s="204">
        <f>(F795*1.3)/100</f>
        <v>0.234</v>
      </c>
      <c r="J795" s="204">
        <f>(F795*0.1)/100</f>
        <v>0.018000000000000002</v>
      </c>
      <c r="K795" s="204">
        <f>(F795*6.9)/100</f>
        <v>1.242</v>
      </c>
      <c r="L795" s="274">
        <f>(F795*35)/100</f>
        <v>6.3</v>
      </c>
      <c r="N795" s="264"/>
    </row>
    <row r="796" spans="1:14" ht="12.75">
      <c r="A796" s="47" t="s">
        <v>176</v>
      </c>
      <c r="B796" s="48"/>
      <c r="C796" s="48"/>
      <c r="D796" s="840"/>
      <c r="E796" s="261">
        <v>0.045</v>
      </c>
      <c r="F796" s="262">
        <v>45</v>
      </c>
      <c r="G796" s="112">
        <v>125</v>
      </c>
      <c r="H796" s="112">
        <f t="shared" si="4"/>
        <v>5.625</v>
      </c>
      <c r="I796" s="111">
        <f>(10.8*F796)/100</f>
        <v>4.86</v>
      </c>
      <c r="J796" s="111">
        <f>(3.2*F796)/100</f>
        <v>1.44</v>
      </c>
      <c r="K796" s="111">
        <f>(56*F796)/100</f>
        <v>25.2</v>
      </c>
      <c r="L796" s="263">
        <f>(F796*296)/100</f>
        <v>133.2</v>
      </c>
      <c r="N796" s="264"/>
    </row>
    <row r="797" spans="1:14" ht="13.5" customHeight="1">
      <c r="A797" s="47" t="s">
        <v>16</v>
      </c>
      <c r="B797" s="48"/>
      <c r="C797" s="48"/>
      <c r="D797" s="840"/>
      <c r="E797" s="51">
        <v>0.005</v>
      </c>
      <c r="F797" s="52">
        <v>5</v>
      </c>
      <c r="G797" s="53">
        <v>300</v>
      </c>
      <c r="H797" s="144">
        <f t="shared" si="4"/>
        <v>1.5</v>
      </c>
      <c r="I797" s="45">
        <f>(F797*1)/100</f>
        <v>0.05</v>
      </c>
      <c r="J797" s="45">
        <f>(F797*72.5)/100</f>
        <v>3.625</v>
      </c>
      <c r="K797" s="45">
        <f>(F797*1.4)/100</f>
        <v>0.07</v>
      </c>
      <c r="L797" s="46">
        <f>(F797*662)/100</f>
        <v>33.1</v>
      </c>
      <c r="N797" s="264"/>
    </row>
    <row r="798" spans="1:14" ht="12" customHeight="1">
      <c r="A798" s="1780" t="s">
        <v>116</v>
      </c>
      <c r="B798" s="1780"/>
      <c r="C798" s="1780"/>
      <c r="D798" s="281">
        <v>45</v>
      </c>
      <c r="E798" s="282"/>
      <c r="F798" s="282"/>
      <c r="G798" s="283"/>
      <c r="H798" s="284">
        <f>H801+H800+H799</f>
        <v>3.7580000000000005</v>
      </c>
      <c r="I798" s="285">
        <f>I799+I800+I800</f>
        <v>0.182</v>
      </c>
      <c r="J798" s="285">
        <f>J799+J800+J800</f>
        <v>2.0120000000000005</v>
      </c>
      <c r="K798" s="285">
        <f>K799+K800+K800</f>
        <v>0.9660000000000001</v>
      </c>
      <c r="L798" s="285">
        <f>L799+L800+L800</f>
        <v>22.88</v>
      </c>
      <c r="N798" s="264"/>
    </row>
    <row r="799" spans="1:14" ht="12" customHeight="1">
      <c r="A799" s="47" t="s">
        <v>37</v>
      </c>
      <c r="B799" s="48"/>
      <c r="C799" s="48"/>
      <c r="D799" s="840"/>
      <c r="E799" s="51">
        <v>0.002</v>
      </c>
      <c r="F799" s="52">
        <v>2</v>
      </c>
      <c r="G799" s="53">
        <v>129</v>
      </c>
      <c r="H799" s="144">
        <f>G799*E799</f>
        <v>0.258</v>
      </c>
      <c r="I799" s="257"/>
      <c r="J799" s="258">
        <f>(F799*99.9)/100</f>
        <v>1.9980000000000002</v>
      </c>
      <c r="K799" s="54"/>
      <c r="L799" s="259">
        <f>(F799*899)/100</f>
        <v>17.98</v>
      </c>
      <c r="N799" s="264"/>
    </row>
    <row r="800" spans="1:14" ht="12" customHeight="1">
      <c r="A800" s="47" t="s">
        <v>34</v>
      </c>
      <c r="B800" s="48"/>
      <c r="C800" s="48"/>
      <c r="D800" s="840"/>
      <c r="E800" s="51">
        <v>0.01</v>
      </c>
      <c r="F800" s="52">
        <v>7</v>
      </c>
      <c r="G800" s="53">
        <v>70</v>
      </c>
      <c r="H800" s="144">
        <f>G800*E800</f>
        <v>0.7000000000000001</v>
      </c>
      <c r="I800" s="204">
        <f>(F800*1.3)/100</f>
        <v>0.091</v>
      </c>
      <c r="J800" s="204">
        <f>(F800*0.1)/100</f>
        <v>0.007000000000000001</v>
      </c>
      <c r="K800" s="204">
        <f>(F800*6.9)/100</f>
        <v>0.48300000000000004</v>
      </c>
      <c r="L800" s="512">
        <f>(F800*35)/100</f>
        <v>2.45</v>
      </c>
      <c r="N800" s="264"/>
    </row>
    <row r="801" spans="1:14" ht="12" customHeight="1">
      <c r="A801" s="340" t="s">
        <v>117</v>
      </c>
      <c r="B801" s="493"/>
      <c r="C801" s="493"/>
      <c r="D801" s="832"/>
      <c r="E801" s="498">
        <v>0.05</v>
      </c>
      <c r="F801" s="435">
        <v>40</v>
      </c>
      <c r="G801" s="32">
        <v>56</v>
      </c>
      <c r="H801" s="33">
        <f>E801*G801</f>
        <v>2.8000000000000003</v>
      </c>
      <c r="I801" s="85">
        <f>(1.8*F801)/100</f>
        <v>0.72</v>
      </c>
      <c r="J801" s="85">
        <f>(F801*0.1)/100</f>
        <v>0.04</v>
      </c>
      <c r="K801" s="85">
        <f>(F801*4.7)/100</f>
        <v>1.88</v>
      </c>
      <c r="L801" s="86">
        <f>(F801*28)/100</f>
        <v>11.2</v>
      </c>
      <c r="N801" s="264"/>
    </row>
    <row r="802" spans="1:12" ht="14.25" customHeight="1">
      <c r="A802" s="1774" t="s">
        <v>177</v>
      </c>
      <c r="B802" s="1774"/>
      <c r="C802" s="1774"/>
      <c r="D802" s="135">
        <v>200</v>
      </c>
      <c r="E802" s="1225"/>
      <c r="F802" s="1225"/>
      <c r="G802" s="138"/>
      <c r="H802" s="138">
        <f>H803+H804</f>
        <v>5.85</v>
      </c>
      <c r="I802" s="1226">
        <f>I803+I804</f>
        <v>0.075</v>
      </c>
      <c r="J802" s="1226">
        <f>J803+J804</f>
        <v>0.03</v>
      </c>
      <c r="K802" s="1226">
        <f>K803+K804</f>
        <v>15.525</v>
      </c>
      <c r="L802" s="1226">
        <f>L803+L804</f>
        <v>64.05</v>
      </c>
    </row>
    <row r="803" spans="1:12" ht="12.75">
      <c r="A803" s="333" t="s">
        <v>131</v>
      </c>
      <c r="B803" s="1227"/>
      <c r="C803" s="1228"/>
      <c r="D803" s="1229"/>
      <c r="E803" s="721">
        <v>0.015</v>
      </c>
      <c r="F803" s="722">
        <v>15</v>
      </c>
      <c r="G803" s="144">
        <v>300</v>
      </c>
      <c r="H803" s="144">
        <f>G803*E803</f>
        <v>4.5</v>
      </c>
      <c r="I803" s="111">
        <f>(F803*0.5)/100</f>
        <v>0.075</v>
      </c>
      <c r="J803" s="111">
        <f>(F803*0.2)/100</f>
        <v>0.03</v>
      </c>
      <c r="K803" s="111">
        <f>(F803*3.7)/100</f>
        <v>0.555</v>
      </c>
      <c r="L803" s="263">
        <f>(28*F803)/100</f>
        <v>4.2</v>
      </c>
    </row>
    <row r="804" spans="1:12" ht="12.75">
      <c r="A804" s="37" t="s">
        <v>17</v>
      </c>
      <c r="B804" s="38"/>
      <c r="C804" s="292"/>
      <c r="D804" s="293"/>
      <c r="E804" s="41">
        <v>0.015</v>
      </c>
      <c r="F804" s="42">
        <v>15</v>
      </c>
      <c r="G804" s="43">
        <v>90</v>
      </c>
      <c r="H804" s="43">
        <f>E804*G804</f>
        <v>1.3499999999999999</v>
      </c>
      <c r="I804" s="80"/>
      <c r="J804" s="80"/>
      <c r="K804" s="80">
        <f>(F804*99.8)/100</f>
        <v>14.97</v>
      </c>
      <c r="L804" s="81">
        <f>(F804*399)/100</f>
        <v>59.85</v>
      </c>
    </row>
    <row r="805" spans="1:12" ht="12.75">
      <c r="A805" s="1780" t="s">
        <v>41</v>
      </c>
      <c r="B805" s="1780"/>
      <c r="C805" s="1780"/>
      <c r="D805" s="927">
        <v>50</v>
      </c>
      <c r="E805" s="66">
        <v>0.05</v>
      </c>
      <c r="F805" s="21">
        <v>50</v>
      </c>
      <c r="G805" s="22">
        <v>35</v>
      </c>
      <c r="H805" s="23">
        <f>E805*G805</f>
        <v>1.75</v>
      </c>
      <c r="I805" s="294">
        <f>(6.6*F805)/100</f>
        <v>3.3</v>
      </c>
      <c r="J805" s="294">
        <f>(1.2*F805)/100</f>
        <v>0.6</v>
      </c>
      <c r="K805" s="294">
        <f>(33.4*F805)/100</f>
        <v>16.7</v>
      </c>
      <c r="L805" s="67">
        <f>(174*F805)/100</f>
        <v>87</v>
      </c>
    </row>
    <row r="806" spans="1:14" ht="12.75">
      <c r="A806" s="1780" t="s">
        <v>48</v>
      </c>
      <c r="B806" s="1780"/>
      <c r="C806" s="1780"/>
      <c r="D806" s="853">
        <v>30</v>
      </c>
      <c r="E806" s="66">
        <v>0.03</v>
      </c>
      <c r="F806" s="21">
        <v>30</v>
      </c>
      <c r="G806" s="22">
        <v>64</v>
      </c>
      <c r="H806" s="23">
        <f>E806*G806</f>
        <v>1.92</v>
      </c>
      <c r="I806" s="294">
        <f>(F806*8)/100</f>
        <v>2.4</v>
      </c>
      <c r="J806" s="294">
        <f>(F806*1)/100</f>
        <v>0.3</v>
      </c>
      <c r="K806" s="294">
        <f>(F806*49.1)/100</f>
        <v>14.73</v>
      </c>
      <c r="L806" s="67">
        <f>(F806*238)/100</f>
        <v>71.4</v>
      </c>
      <c r="N806" s="206"/>
    </row>
    <row r="807" spans="1:14" ht="12.75">
      <c r="A807" s="1230"/>
      <c r="B807" s="1231"/>
      <c r="C807" s="1231"/>
      <c r="D807" s="1232"/>
      <c r="E807" s="1233"/>
      <c r="F807" s="1233"/>
      <c r="G807" s="1234"/>
      <c r="H807" s="1234"/>
      <c r="I807" s="1233"/>
      <c r="J807" s="1235"/>
      <c r="K807" s="1233"/>
      <c r="L807" s="1236"/>
      <c r="N807" s="286"/>
    </row>
    <row r="808" spans="1:14" ht="15.75">
      <c r="A808" s="733"/>
      <c r="B808" s="675"/>
      <c r="C808" s="734" t="s">
        <v>43</v>
      </c>
      <c r="D808" s="735"/>
      <c r="E808" s="734"/>
      <c r="F808" s="734"/>
      <c r="G808" s="679"/>
      <c r="H808" s="679">
        <f>H806+H805+H802+H798+H791+H782</f>
        <v>60.938</v>
      </c>
      <c r="I808" s="734"/>
      <c r="J808" s="677"/>
      <c r="K808" s="675"/>
      <c r="L808" s="1237"/>
      <c r="N808" s="275"/>
    </row>
    <row r="809" spans="1:14" ht="15.75">
      <c r="A809" s="1238"/>
      <c r="B809" s="1239" t="s">
        <v>24</v>
      </c>
      <c r="C809" s="1239"/>
      <c r="D809" s="1240"/>
      <c r="E809" s="1239"/>
      <c r="F809" s="1239"/>
      <c r="G809" s="1241"/>
      <c r="H809" s="1241"/>
      <c r="I809" s="1242">
        <f>I806+I805+I802+I801+I791+I782</f>
        <v>14.445</v>
      </c>
      <c r="J809" s="1242">
        <f>J806+J805+J802+J801+J791+J782</f>
        <v>26.568</v>
      </c>
      <c r="K809" s="1242">
        <f>K806+K805+K802+K801+K791+K782</f>
        <v>90.297</v>
      </c>
      <c r="L809" s="1242">
        <f>L806+L805+L802+L801+L791+L782</f>
        <v>697.5999999999999</v>
      </c>
      <c r="N809" s="275"/>
    </row>
    <row r="810" spans="1:14" ht="12.75">
      <c r="A810" s="931"/>
      <c r="B810" s="57"/>
      <c r="C810" s="634"/>
      <c r="D810" s="207"/>
      <c r="E810" s="634"/>
      <c r="F810" s="634"/>
      <c r="G810" s="210"/>
      <c r="H810" s="210"/>
      <c r="I810" s="57"/>
      <c r="J810" s="208"/>
      <c r="K810" s="57"/>
      <c r="L810" s="957">
        <f>L809/1800</f>
        <v>0.3875555555555555</v>
      </c>
      <c r="N810" s="421"/>
    </row>
    <row r="811" spans="1:14" ht="12.75">
      <c r="A811" s="57"/>
      <c r="B811" s="634" t="s">
        <v>44</v>
      </c>
      <c r="C811" s="634" t="s">
        <v>105</v>
      </c>
      <c r="D811" s="208"/>
      <c r="E811" s="57"/>
      <c r="F811" s="57"/>
      <c r="G811" s="57"/>
      <c r="H811" s="57"/>
      <c r="I811" s="634"/>
      <c r="J811" s="634"/>
      <c r="K811" s="209"/>
      <c r="L811" s="208"/>
      <c r="N811" s="275"/>
    </row>
    <row r="812" spans="1:12" ht="12.75">
      <c r="A812" s="1780" t="s">
        <v>178</v>
      </c>
      <c r="B812" s="1780"/>
      <c r="C812" s="1780"/>
      <c r="D812" s="556">
        <v>130</v>
      </c>
      <c r="E812" s="282"/>
      <c r="F812" s="282"/>
      <c r="G812" s="283"/>
      <c r="H812" s="284">
        <f>SUM(H813:H820)</f>
        <v>25.718</v>
      </c>
      <c r="I812" s="285">
        <f>SUM(I813:I819)</f>
        <v>18.818</v>
      </c>
      <c r="J812" s="285">
        <f>SUM(J813:J819)</f>
        <v>15.512</v>
      </c>
      <c r="K812" s="285">
        <f>SUM(K813:K819)</f>
        <v>17.861</v>
      </c>
      <c r="L812" s="285">
        <f>SUM(L813:L819)</f>
        <v>288.72</v>
      </c>
    </row>
    <row r="813" spans="1:12" ht="12.75">
      <c r="A813" s="557" t="s">
        <v>18</v>
      </c>
      <c r="B813" s="558"/>
      <c r="C813" s="558"/>
      <c r="D813" s="559"/>
      <c r="E813" s="454">
        <v>0.04</v>
      </c>
      <c r="F813" s="73">
        <v>40</v>
      </c>
      <c r="G813" s="78">
        <v>72</v>
      </c>
      <c r="H813" s="78">
        <f>G813*E813</f>
        <v>2.88</v>
      </c>
      <c r="I813" s="63">
        <f>(2.9*F813)/100</f>
        <v>1.16</v>
      </c>
      <c r="J813" s="63">
        <f>(F813*2.5)/100</f>
        <v>1</v>
      </c>
      <c r="K813" s="63">
        <f>(4.8*F813)/100</f>
        <v>1.92</v>
      </c>
      <c r="L813" s="64">
        <f>(F813*60)/100</f>
        <v>24</v>
      </c>
    </row>
    <row r="814" spans="1:12" ht="12.75">
      <c r="A814" s="340" t="s">
        <v>37</v>
      </c>
      <c r="B814" s="341"/>
      <c r="C814" s="341"/>
      <c r="D814" s="517"/>
      <c r="E814" s="448">
        <v>0.003</v>
      </c>
      <c r="F814" s="560">
        <v>3</v>
      </c>
      <c r="G814" s="447">
        <v>129</v>
      </c>
      <c r="H814" s="200">
        <f>E814*G814</f>
        <v>0.387</v>
      </c>
      <c r="I814" s="521"/>
      <c r="J814" s="455">
        <f>(F814*99.9)/100</f>
        <v>2.9970000000000003</v>
      </c>
      <c r="K814" s="80"/>
      <c r="L814" s="522">
        <f>(F814*899)/100</f>
        <v>26.97</v>
      </c>
    </row>
    <row r="815" spans="1:12" ht="12.75">
      <c r="A815" s="340" t="s">
        <v>16</v>
      </c>
      <c r="B815" s="341"/>
      <c r="C815" s="341"/>
      <c r="D815" s="517"/>
      <c r="E815" s="562">
        <v>0.002</v>
      </c>
      <c r="F815" s="505">
        <v>2</v>
      </c>
      <c r="G815" s="214">
        <v>300</v>
      </c>
      <c r="H815" s="78">
        <f>G815*E815</f>
        <v>0.6</v>
      </c>
      <c r="I815" s="45">
        <f>(F815*1)/100</f>
        <v>0.02</v>
      </c>
      <c r="J815" s="45">
        <f>(F815*72.5)/100</f>
        <v>1.45</v>
      </c>
      <c r="K815" s="45">
        <f>(F815*1.4)/100</f>
        <v>0.027999999999999997</v>
      </c>
      <c r="L815" s="46">
        <f>(F815*662)/100</f>
        <v>13.24</v>
      </c>
    </row>
    <row r="816" spans="1:12" ht="12.75">
      <c r="A816" s="340" t="s">
        <v>46</v>
      </c>
      <c r="B816" s="341"/>
      <c r="C816" s="341"/>
      <c r="D816" s="517"/>
      <c r="E816" s="562">
        <v>0.012</v>
      </c>
      <c r="F816" s="564">
        <v>11</v>
      </c>
      <c r="G816" s="505">
        <v>230</v>
      </c>
      <c r="H816" s="535">
        <f>E816*G816</f>
        <v>2.7600000000000002</v>
      </c>
      <c r="I816" s="455">
        <f>(12.7*F816)/100</f>
        <v>1.3969999999999998</v>
      </c>
      <c r="J816" s="455">
        <f>(F816*11.5)/100</f>
        <v>1.265</v>
      </c>
      <c r="K816" s="455">
        <f>(F816*0.7)/100</f>
        <v>0.07700000000000001</v>
      </c>
      <c r="L816" s="456">
        <f>(157*F816)/100</f>
        <v>17.27</v>
      </c>
    </row>
    <row r="817" spans="1:12" ht="12.75">
      <c r="A817" s="340" t="s">
        <v>84</v>
      </c>
      <c r="B817" s="341"/>
      <c r="C817" s="341"/>
      <c r="D817" s="517"/>
      <c r="E817" s="433">
        <v>0.1</v>
      </c>
      <c r="F817" s="434">
        <v>97</v>
      </c>
      <c r="G817" s="214">
        <v>180</v>
      </c>
      <c r="H817" s="78">
        <f>G817*E817</f>
        <v>18</v>
      </c>
      <c r="I817" s="54">
        <f>(16*F817)/100</f>
        <v>15.52</v>
      </c>
      <c r="J817" s="256">
        <f>(F817*9)/100</f>
        <v>8.73</v>
      </c>
      <c r="K817" s="256">
        <f>(3*F817)/100</f>
        <v>2.91</v>
      </c>
      <c r="L817" s="532">
        <f>(157*F817)/100</f>
        <v>152.29</v>
      </c>
    </row>
    <row r="818" spans="1:12" ht="12.75">
      <c r="A818" s="340" t="s">
        <v>17</v>
      </c>
      <c r="B818" s="341"/>
      <c r="C818" s="341"/>
      <c r="D818" s="517"/>
      <c r="E818" s="562">
        <v>0.008</v>
      </c>
      <c r="F818" s="505">
        <v>8</v>
      </c>
      <c r="G818" s="214">
        <v>90</v>
      </c>
      <c r="H818" s="78">
        <f>G818*E818</f>
        <v>0.72</v>
      </c>
      <c r="I818" s="80"/>
      <c r="J818" s="80"/>
      <c r="K818" s="80">
        <f>(F818*99.8)/100</f>
        <v>7.984</v>
      </c>
      <c r="L818" s="81">
        <f>(F818*399)/100</f>
        <v>31.92</v>
      </c>
    </row>
    <row r="819" spans="1:12" ht="12.75">
      <c r="A819" s="340" t="s">
        <v>76</v>
      </c>
      <c r="B819" s="341"/>
      <c r="C819" s="341"/>
      <c r="D819" s="517"/>
      <c r="E819" s="77">
        <v>0.007</v>
      </c>
      <c r="F819" s="78">
        <v>7</v>
      </c>
      <c r="G819" s="78">
        <v>49</v>
      </c>
      <c r="H819" s="78">
        <f>G819*E819</f>
        <v>0.343</v>
      </c>
      <c r="I819" s="34">
        <f>(E819*10.3)/0.1</f>
        <v>0.7210000000000001</v>
      </c>
      <c r="J819" s="35">
        <f>(F819*1)/100</f>
        <v>0.07</v>
      </c>
      <c r="K819" s="35">
        <f>(F819*70.6)/100</f>
        <v>4.941999999999999</v>
      </c>
      <c r="L819" s="36">
        <f>(F819*329)/100</f>
        <v>23.03</v>
      </c>
    </row>
    <row r="820" spans="1:12" ht="12.75">
      <c r="A820" s="566" t="s">
        <v>86</v>
      </c>
      <c r="B820" s="567"/>
      <c r="C820" s="567"/>
      <c r="D820" s="568"/>
      <c r="E820" s="569">
        <v>2E-05</v>
      </c>
      <c r="F820" s="83">
        <v>0.02</v>
      </c>
      <c r="G820" s="78">
        <v>1400</v>
      </c>
      <c r="H820" s="78">
        <f>G820*E820</f>
        <v>0.028</v>
      </c>
      <c r="I820" s="570"/>
      <c r="J820" s="570"/>
      <c r="K820" s="570"/>
      <c r="L820" s="571"/>
    </row>
    <row r="821" spans="1:12" ht="12.75">
      <c r="A821" s="360" t="s">
        <v>179</v>
      </c>
      <c r="B821" s="572"/>
      <c r="C821" s="573"/>
      <c r="D821" s="574">
        <v>20</v>
      </c>
      <c r="E821" s="575"/>
      <c r="F821" s="574"/>
      <c r="G821" s="576"/>
      <c r="H821" s="576">
        <f>H822</f>
        <v>3.12</v>
      </c>
      <c r="I821" s="577">
        <f>I822</f>
        <v>1.44</v>
      </c>
      <c r="J821" s="577">
        <f>J822</f>
        <v>1.7</v>
      </c>
      <c r="K821" s="577">
        <f>K822</f>
        <v>11.1</v>
      </c>
      <c r="L821" s="577">
        <f>L822</f>
        <v>65.6</v>
      </c>
    </row>
    <row r="822" spans="1:12" ht="12.75">
      <c r="A822" s="578" t="s">
        <v>179</v>
      </c>
      <c r="B822" s="579"/>
      <c r="C822" s="580"/>
      <c r="D822" s="581"/>
      <c r="E822" s="582">
        <v>0.02</v>
      </c>
      <c r="F822" s="583">
        <v>20</v>
      </c>
      <c r="G822" s="584">
        <v>156</v>
      </c>
      <c r="H822" s="585">
        <f>E822*G822</f>
        <v>3.12</v>
      </c>
      <c r="I822" s="45">
        <f>(F822*7.2)/100</f>
        <v>1.44</v>
      </c>
      <c r="J822" s="45">
        <f>(F822*8.5)/100</f>
        <v>1.7</v>
      </c>
      <c r="K822" s="45">
        <f>(F822*55.5)/100</f>
        <v>11.1</v>
      </c>
      <c r="L822" s="46">
        <f>(F822*328)/100</f>
        <v>65.6</v>
      </c>
    </row>
    <row r="823" spans="1:12" ht="12.75" customHeight="1">
      <c r="A823" s="1780" t="s">
        <v>49</v>
      </c>
      <c r="B823" s="1780"/>
      <c r="C823" s="1780"/>
      <c r="D823" s="637">
        <v>200</v>
      </c>
      <c r="E823" s="282"/>
      <c r="F823" s="282"/>
      <c r="G823" s="283"/>
      <c r="H823" s="284">
        <f>H824+H825</f>
        <v>1.3488000000000002</v>
      </c>
      <c r="I823" s="285">
        <f>SUM(I824:I825)</f>
        <v>0</v>
      </c>
      <c r="J823" s="285">
        <f>SUM(J824:J825)</f>
        <v>0</v>
      </c>
      <c r="K823" s="285">
        <f>SUM(K824:K825)</f>
        <v>11.975999999999999</v>
      </c>
      <c r="L823" s="285">
        <f>SUM(L824:L825)</f>
        <v>47.88</v>
      </c>
    </row>
    <row r="824" spans="1:12" ht="12.75" customHeight="1">
      <c r="A824" s="56" t="s">
        <v>20</v>
      </c>
      <c r="B824" s="221"/>
      <c r="C824" s="57"/>
      <c r="D824" s="638"/>
      <c r="E824" s="639">
        <v>0.0006000000000000001</v>
      </c>
      <c r="F824" s="60">
        <v>0.6000000000000001</v>
      </c>
      <c r="G824" s="61">
        <v>448</v>
      </c>
      <c r="H824" s="192">
        <f>E824*G824</f>
        <v>0.26880000000000004</v>
      </c>
      <c r="I824" s="191"/>
      <c r="J824" s="191"/>
      <c r="K824" s="191"/>
      <c r="L824" s="1243"/>
    </row>
    <row r="825" spans="1:12" ht="12.75" customHeight="1">
      <c r="A825" s="429" t="s">
        <v>17</v>
      </c>
      <c r="B825" s="430"/>
      <c r="C825" s="431"/>
      <c r="D825" s="432"/>
      <c r="E825" s="562">
        <v>0.012</v>
      </c>
      <c r="F825" s="434">
        <v>12</v>
      </c>
      <c r="G825" s="32">
        <v>90</v>
      </c>
      <c r="H825" s="535">
        <f>E825*G825</f>
        <v>1.08</v>
      </c>
      <c r="I825" s="80"/>
      <c r="J825" s="80"/>
      <c r="K825" s="80">
        <f>(F825*99.8)/100</f>
        <v>11.975999999999999</v>
      </c>
      <c r="L825" s="81">
        <f>(F825*399)/100</f>
        <v>47.88</v>
      </c>
    </row>
    <row r="826" spans="1:12" ht="12.75" customHeight="1">
      <c r="A826" s="457"/>
      <c r="B826" s="458"/>
      <c r="C826" s="474"/>
      <c r="D826" s="475"/>
      <c r="E826" s="476"/>
      <c r="F826" s="477"/>
      <c r="G826" s="478"/>
      <c r="H826" s="478"/>
      <c r="I826" s="479"/>
      <c r="J826" s="479"/>
      <c r="K826" s="479"/>
      <c r="L826" s="480"/>
    </row>
    <row r="827" spans="1:12" ht="12.75">
      <c r="A827" s="354"/>
      <c r="B827" s="355"/>
      <c r="C827" s="1155"/>
      <c r="D827" s="765"/>
      <c r="E827" s="82"/>
      <c r="F827" s="83"/>
      <c r="G827" s="84"/>
      <c r="H827" s="84"/>
      <c r="I827" s="358"/>
      <c r="J827" s="358"/>
      <c r="K827" s="358"/>
      <c r="L827" s="359"/>
    </row>
    <row r="828" spans="1:12" ht="15.75">
      <c r="A828" s="768"/>
      <c r="B828" s="769"/>
      <c r="C828" s="770" t="s">
        <v>50</v>
      </c>
      <c r="D828" s="658"/>
      <c r="E828" s="771"/>
      <c r="F828" s="771"/>
      <c r="G828" s="772"/>
      <c r="H828" s="660">
        <f>H823+H821+H812</f>
        <v>30.186799999999998</v>
      </c>
      <c r="I828" s="771"/>
      <c r="J828" s="1217"/>
      <c r="K828" s="771"/>
      <c r="L828" s="1244"/>
    </row>
    <row r="829" spans="1:12" ht="12.75">
      <c r="A829" s="774"/>
      <c r="B829" s="775"/>
      <c r="C829" s="776" t="s">
        <v>24</v>
      </c>
      <c r="D829" s="777"/>
      <c r="E829" s="442"/>
      <c r="F829" s="442"/>
      <c r="G829" s="443"/>
      <c r="H829" s="443"/>
      <c r="I829" s="442"/>
      <c r="J829" s="1245"/>
      <c r="K829" s="442"/>
      <c r="L829" s="1246"/>
    </row>
    <row r="830" spans="1:12" ht="15.75">
      <c r="A830" s="1247" t="s">
        <v>51</v>
      </c>
      <c r="B830" s="780"/>
      <c r="C830" s="780"/>
      <c r="D830" s="629"/>
      <c r="E830" s="781">
        <v>0.009000000000000001</v>
      </c>
      <c r="F830" s="430" t="s">
        <v>52</v>
      </c>
      <c r="G830" s="782">
        <v>20</v>
      </c>
      <c r="H830" s="952">
        <f>E830*G830</f>
        <v>0.18000000000000002</v>
      </c>
      <c r="I830" s="431"/>
      <c r="J830" s="783"/>
      <c r="K830" s="431"/>
      <c r="L830" s="1248"/>
    </row>
    <row r="831" spans="1:12" ht="15.75">
      <c r="A831" s="1814" t="s">
        <v>24</v>
      </c>
      <c r="B831" s="1814"/>
      <c r="C831" s="1814"/>
      <c r="D831" s="1814"/>
      <c r="E831" s="1249"/>
      <c r="F831" s="1250"/>
      <c r="G831" s="1251"/>
      <c r="H831" s="1251"/>
      <c r="I831" s="1252">
        <f>I823+I821+I812</f>
        <v>20.258000000000003</v>
      </c>
      <c r="J831" s="1252">
        <f>J823+J821+J812</f>
        <v>17.212</v>
      </c>
      <c r="K831" s="1252">
        <f>K823+K821+K812</f>
        <v>40.937</v>
      </c>
      <c r="L831" s="1252">
        <f>L823+L821+L812</f>
        <v>402.20000000000005</v>
      </c>
    </row>
    <row r="832" spans="1:12" ht="12.75" customHeight="1">
      <c r="A832" s="1253"/>
      <c r="B832" s="786"/>
      <c r="C832" s="787" t="s">
        <v>53</v>
      </c>
      <c r="D832" s="788"/>
      <c r="E832" s="786"/>
      <c r="F832" s="787"/>
      <c r="G832" s="789"/>
      <c r="H832" s="789">
        <f>H830+H828+H808+H779+H770</f>
        <v>117.64359999999999</v>
      </c>
      <c r="I832" s="790"/>
      <c r="J832" s="791"/>
      <c r="K832" s="790"/>
      <c r="L832" s="1254">
        <f>L831/1800</f>
        <v>0.22344444444444447</v>
      </c>
    </row>
    <row r="833" spans="1:12" ht="12.75">
      <c r="A833" s="1247"/>
      <c r="B833" s="431"/>
      <c r="C833" s="780"/>
      <c r="D833" s="629"/>
      <c r="E833" s="793"/>
      <c r="F833" s="430" t="s">
        <v>24</v>
      </c>
      <c r="G833" s="782"/>
      <c r="H833" s="782"/>
      <c r="I833" s="780"/>
      <c r="J833" s="629"/>
      <c r="K833" s="780"/>
      <c r="L833" s="1255"/>
    </row>
    <row r="834" spans="1:12" ht="12.75">
      <c r="A834" s="1256" t="s">
        <v>54</v>
      </c>
      <c r="B834" s="1257"/>
      <c r="C834" s="740"/>
      <c r="D834" s="741"/>
      <c r="E834" s="740"/>
      <c r="F834" s="740"/>
      <c r="G834" s="742"/>
      <c r="H834" s="742"/>
      <c r="I834" s="743">
        <f>I831+I809+I774+I771</f>
        <v>43.603</v>
      </c>
      <c r="J834" s="743">
        <f>J831+J809+J774+J771</f>
        <v>54.525</v>
      </c>
      <c r="K834" s="1258">
        <f>K831+K809+K774+K771</f>
        <v>193.83599999999998</v>
      </c>
      <c r="L834" s="743">
        <f>L831+L809+L774+L771</f>
        <v>1491.31</v>
      </c>
    </row>
    <row r="835" spans="1:12" ht="12.75">
      <c r="A835" s="618"/>
      <c r="B835" s="618"/>
      <c r="C835" s="618"/>
      <c r="D835" s="796"/>
      <c r="E835" s="618"/>
      <c r="F835" s="618"/>
      <c r="G835" s="618"/>
      <c r="H835" s="618"/>
      <c r="I835" s="618"/>
      <c r="J835" s="618"/>
      <c r="K835" s="618"/>
      <c r="L835" s="797">
        <f>L834/1800</f>
        <v>0.8285055555555555</v>
      </c>
    </row>
    <row r="836" spans="1:12" ht="12.75">
      <c r="A836" s="618"/>
      <c r="B836" s="618"/>
      <c r="C836" s="618"/>
      <c r="D836" s="796"/>
      <c r="E836" s="618"/>
      <c r="F836" s="618"/>
      <c r="G836" s="618"/>
      <c r="H836" s="618"/>
      <c r="I836" s="618"/>
      <c r="J836" s="618"/>
      <c r="K836" s="618"/>
      <c r="L836" s="797"/>
    </row>
    <row r="837" spans="1:12" ht="12.75">
      <c r="A837" s="618"/>
      <c r="B837" s="618"/>
      <c r="C837" s="618"/>
      <c r="D837" s="796"/>
      <c r="E837" s="618"/>
      <c r="F837" s="618"/>
      <c r="G837" s="618"/>
      <c r="H837" s="618"/>
      <c r="I837" s="618"/>
      <c r="J837" s="618"/>
      <c r="K837" s="618"/>
      <c r="L837" s="797"/>
    </row>
    <row r="838" spans="1:12" ht="12.75">
      <c r="A838" s="618"/>
      <c r="B838" s="618"/>
      <c r="C838" s="618"/>
      <c r="D838" s="796"/>
      <c r="E838" s="618"/>
      <c r="F838" s="618"/>
      <c r="G838" s="618"/>
      <c r="H838" s="618"/>
      <c r="I838" s="618"/>
      <c r="J838" s="618"/>
      <c r="K838" s="618"/>
      <c r="L838" s="797"/>
    </row>
    <row r="839" spans="1:12" ht="12.75">
      <c r="A839" s="618"/>
      <c r="B839" s="618"/>
      <c r="C839" s="618"/>
      <c r="D839" s="796"/>
      <c r="E839" s="618"/>
      <c r="F839" s="618"/>
      <c r="G839" s="618"/>
      <c r="H839" s="618"/>
      <c r="I839" s="618"/>
      <c r="J839" s="618"/>
      <c r="K839" s="618"/>
      <c r="L839" s="797"/>
    </row>
    <row r="840" spans="1:12" ht="12.75">
      <c r="A840" s="618"/>
      <c r="B840" s="618"/>
      <c r="C840" s="618"/>
      <c r="D840" s="796"/>
      <c r="E840" s="618"/>
      <c r="F840" s="618"/>
      <c r="G840" s="618"/>
      <c r="H840" s="618"/>
      <c r="I840" s="618"/>
      <c r="J840" s="618"/>
      <c r="K840" s="618"/>
      <c r="L840" s="797"/>
    </row>
    <row r="841" spans="1:12" ht="12.75">
      <c r="A841" s="618"/>
      <c r="B841" s="618"/>
      <c r="C841" s="618"/>
      <c r="D841" s="796"/>
      <c r="E841" s="618"/>
      <c r="F841" s="618"/>
      <c r="G841" s="618"/>
      <c r="H841" s="618"/>
      <c r="I841" s="618"/>
      <c r="J841" s="618"/>
      <c r="K841" s="618"/>
      <c r="L841" s="797"/>
    </row>
    <row r="842" spans="1:12" ht="12.75">
      <c r="A842" s="618"/>
      <c r="B842" s="618"/>
      <c r="C842" s="618"/>
      <c r="D842" s="796"/>
      <c r="E842" s="618"/>
      <c r="F842" s="618"/>
      <c r="G842" s="618"/>
      <c r="H842" s="618"/>
      <c r="I842" s="618"/>
      <c r="J842" s="618"/>
      <c r="K842" s="618"/>
      <c r="L842" s="797"/>
    </row>
    <row r="843" spans="1:13" ht="15">
      <c r="A843" s="798"/>
      <c r="B843" s="798"/>
      <c r="C843" s="798"/>
      <c r="D843" s="619"/>
      <c r="E843" s="798"/>
      <c r="F843" s="798"/>
      <c r="G843" s="799"/>
      <c r="H843" s="799"/>
      <c r="I843" s="800" t="s">
        <v>180</v>
      </c>
      <c r="J843" s="621"/>
      <c r="K843" s="621"/>
      <c r="L843" s="621"/>
      <c r="M843" s="618"/>
    </row>
    <row r="844" spans="1:13" ht="12.75">
      <c r="A844" s="618"/>
      <c r="B844" s="618"/>
      <c r="C844" s="618"/>
      <c r="D844" s="619" t="s">
        <v>1</v>
      </c>
      <c r="E844" s="618"/>
      <c r="F844" s="618"/>
      <c r="G844" s="620"/>
      <c r="H844" s="620"/>
      <c r="I844" s="621"/>
      <c r="J844" s="621"/>
      <c r="K844" s="621"/>
      <c r="L844" s="621"/>
      <c r="M844" s="618"/>
    </row>
    <row r="845" spans="1:13" ht="25.5">
      <c r="A845" s="1787" t="s">
        <v>2</v>
      </c>
      <c r="B845" s="1787"/>
      <c r="C845" s="1787"/>
      <c r="D845" s="622" t="s">
        <v>3</v>
      </c>
      <c r="E845" s="623" t="s">
        <v>4</v>
      </c>
      <c r="F845" s="623" t="s">
        <v>5</v>
      </c>
      <c r="G845" s="624" t="s">
        <v>6</v>
      </c>
      <c r="H845" s="625" t="s">
        <v>7</v>
      </c>
      <c r="I845" s="626" t="s">
        <v>8</v>
      </c>
      <c r="J845" s="626" t="s">
        <v>9</v>
      </c>
      <c r="K845" s="627" t="s">
        <v>10</v>
      </c>
      <c r="L845" s="626" t="s">
        <v>11</v>
      </c>
      <c r="M845" s="57"/>
    </row>
    <row r="846" spans="1:13" ht="12.75">
      <c r="A846" s="1787"/>
      <c r="B846" s="1787"/>
      <c r="C846" s="1787"/>
      <c r="D846" s="628"/>
      <c r="E846" s="629"/>
      <c r="F846" s="629"/>
      <c r="G846" s="630"/>
      <c r="H846" s="630"/>
      <c r="I846" s="631" t="s">
        <v>12</v>
      </c>
      <c r="J846" s="631"/>
      <c r="K846" s="631"/>
      <c r="L846" s="632"/>
      <c r="M846" s="57"/>
    </row>
    <row r="847" spans="1:13" ht="13.5" thickBot="1">
      <c r="A847" s="211" t="s">
        <v>57</v>
      </c>
      <c r="B847" s="633">
        <v>0.3333333333333333</v>
      </c>
      <c r="C847" s="634"/>
      <c r="D847" s="207"/>
      <c r="E847" s="634"/>
      <c r="F847" s="634"/>
      <c r="G847" s="210"/>
      <c r="H847" s="210"/>
      <c r="I847" s="211"/>
      <c r="J847" s="211"/>
      <c r="K847" s="211"/>
      <c r="L847" s="211"/>
      <c r="M847" s="618"/>
    </row>
    <row r="848" spans="1:13" ht="13.5" thickBot="1">
      <c r="A848" s="1773" t="s">
        <v>181</v>
      </c>
      <c r="B848" s="1773"/>
      <c r="C848" s="1773"/>
      <c r="D848" s="20">
        <v>200</v>
      </c>
      <c r="E848" s="21"/>
      <c r="F848" s="21"/>
      <c r="G848" s="22"/>
      <c r="H848" s="23">
        <f>H849+H850+H852+H851</f>
        <v>14.52</v>
      </c>
      <c r="I848" s="24">
        <f>SUM(I849:I852)</f>
        <v>6.6</v>
      </c>
      <c r="J848" s="24">
        <f>SUM(J849:J852)</f>
        <v>7.575</v>
      </c>
      <c r="K848" s="24">
        <f>SUM(K849:K852)</f>
        <v>26.062</v>
      </c>
      <c r="L848" s="24">
        <f>SUM(L849:L852)</f>
        <v>205.66</v>
      </c>
      <c r="M848" s="618"/>
    </row>
    <row r="849" spans="1:13" ht="12.75">
      <c r="A849" s="27" t="s">
        <v>92</v>
      </c>
      <c r="B849" s="28"/>
      <c r="C849" s="28"/>
      <c r="D849" s="29"/>
      <c r="E849" s="30">
        <v>0.02</v>
      </c>
      <c r="F849" s="31">
        <v>20</v>
      </c>
      <c r="G849" s="214">
        <v>93</v>
      </c>
      <c r="H849" s="215">
        <f>G849*E849</f>
        <v>1.86</v>
      </c>
      <c r="I849" s="85">
        <f>(11*F849)/100</f>
        <v>2.2</v>
      </c>
      <c r="J849" s="984">
        <f>(F849*1)/100</f>
        <v>0.2</v>
      </c>
      <c r="K849" s="984">
        <f>(74*F849)/100</f>
        <v>14.8</v>
      </c>
      <c r="L849" s="985">
        <f>(F849*333)/100</f>
        <v>66.6</v>
      </c>
      <c r="M849" s="618"/>
    </row>
    <row r="850" spans="1:13" ht="12.75">
      <c r="A850" s="37" t="s">
        <v>16</v>
      </c>
      <c r="B850" s="38"/>
      <c r="C850" s="39"/>
      <c r="D850" s="40"/>
      <c r="E850" s="41">
        <v>0.005</v>
      </c>
      <c r="F850" s="42">
        <v>5</v>
      </c>
      <c r="G850" s="43">
        <v>300</v>
      </c>
      <c r="H850" s="44">
        <f>E850*G850</f>
        <v>1.5</v>
      </c>
      <c r="I850" s="45">
        <f>(F850*1)/100</f>
        <v>0.05</v>
      </c>
      <c r="J850" s="45">
        <f>(F850*72.5)/100</f>
        <v>3.625</v>
      </c>
      <c r="K850" s="45">
        <f>(F850*1.4)/100</f>
        <v>0.07</v>
      </c>
      <c r="L850" s="46">
        <f>(F850*662)/100</f>
        <v>33.1</v>
      </c>
      <c r="M850" s="618"/>
    </row>
    <row r="851" spans="1:13" ht="12.75">
      <c r="A851" s="47" t="s">
        <v>17</v>
      </c>
      <c r="B851" s="48"/>
      <c r="C851" s="49"/>
      <c r="D851" s="50"/>
      <c r="E851" s="51">
        <v>0.004</v>
      </c>
      <c r="F851" s="52">
        <v>4</v>
      </c>
      <c r="G851" s="53">
        <v>90</v>
      </c>
      <c r="H851" s="53">
        <f>E851*G851</f>
        <v>0.36</v>
      </c>
      <c r="I851" s="54"/>
      <c r="J851" s="54"/>
      <c r="K851" s="54">
        <f>(F851*99.8)/100</f>
        <v>3.992</v>
      </c>
      <c r="L851" s="55">
        <f>(F851*399)/100</f>
        <v>15.96</v>
      </c>
      <c r="M851" s="618"/>
    </row>
    <row r="852" spans="1:13" ht="13.5" thickBot="1">
      <c r="A852" s="56" t="s">
        <v>18</v>
      </c>
      <c r="B852" s="57"/>
      <c r="C852" s="57"/>
      <c r="D852" s="58"/>
      <c r="E852" s="59">
        <v>0.15</v>
      </c>
      <c r="F852" s="60">
        <v>150</v>
      </c>
      <c r="G852" s="61">
        <v>72</v>
      </c>
      <c r="H852" s="62">
        <f>E852*G852</f>
        <v>10.799999999999999</v>
      </c>
      <c r="I852" s="63">
        <f>(2.9*F852)/100</f>
        <v>4.35</v>
      </c>
      <c r="J852" s="63">
        <f>(F852*2.5)/100</f>
        <v>3.75</v>
      </c>
      <c r="K852" s="63">
        <f>(4.8*F852)/100</f>
        <v>7.2</v>
      </c>
      <c r="L852" s="64">
        <f>(F852*60)/100</f>
        <v>90</v>
      </c>
      <c r="M852" s="618"/>
    </row>
    <row r="853" spans="1:13" ht="13.5" thickBot="1">
      <c r="A853" s="1773" t="s">
        <v>126</v>
      </c>
      <c r="B853" s="1773"/>
      <c r="C853" s="1773"/>
      <c r="D853" s="65">
        <v>200</v>
      </c>
      <c r="E853" s="178"/>
      <c r="F853" s="178"/>
      <c r="G853" s="180"/>
      <c r="H853" s="348">
        <f>H854+H855+H856</f>
        <v>16.740000000000002</v>
      </c>
      <c r="I853" s="445">
        <f>SUM(I854:I856)</f>
        <v>5.8</v>
      </c>
      <c r="J853" s="181">
        <f>SUM(J854:J856)</f>
        <v>5</v>
      </c>
      <c r="K853" s="445">
        <f>SUM(K854:K856)</f>
        <v>21.576</v>
      </c>
      <c r="L853" s="349">
        <f>SUM(L854:L856)</f>
        <v>167.88</v>
      </c>
      <c r="M853" s="618"/>
    </row>
    <row r="854" spans="1:13" ht="12.75">
      <c r="A854" s="27" t="s">
        <v>127</v>
      </c>
      <c r="B854" s="286"/>
      <c r="C854" s="28"/>
      <c r="D854" s="71"/>
      <c r="E854" s="30">
        <v>0.002</v>
      </c>
      <c r="F854" s="31">
        <v>2</v>
      </c>
      <c r="G854" s="446">
        <v>630</v>
      </c>
      <c r="H854" s="447">
        <f>E854*G854</f>
        <v>1.26</v>
      </c>
      <c r="I854" s="31"/>
      <c r="J854" s="63"/>
      <c r="K854" s="31"/>
      <c r="L854" s="64"/>
      <c r="M854" s="618"/>
    </row>
    <row r="855" spans="1:13" ht="12.75">
      <c r="A855" s="217" t="s">
        <v>17</v>
      </c>
      <c r="B855" s="218"/>
      <c r="C855" s="398"/>
      <c r="D855" s="71"/>
      <c r="E855" s="448">
        <v>0.012</v>
      </c>
      <c r="F855" s="449">
        <v>12</v>
      </c>
      <c r="G855" s="447">
        <v>90</v>
      </c>
      <c r="H855" s="447">
        <f>E855*G855</f>
        <v>1.08</v>
      </c>
      <c r="I855" s="80"/>
      <c r="J855" s="80"/>
      <c r="K855" s="80">
        <f>(F855*99.8)/100</f>
        <v>11.975999999999999</v>
      </c>
      <c r="L855" s="81">
        <f>(F855*399)/100</f>
        <v>47.88</v>
      </c>
      <c r="M855" s="618"/>
    </row>
    <row r="856" spans="1:13" ht="13.5" thickBot="1">
      <c r="A856" s="37" t="s">
        <v>18</v>
      </c>
      <c r="B856" s="38"/>
      <c r="C856" s="39"/>
      <c r="D856" s="71"/>
      <c r="E856" s="41">
        <v>0.2</v>
      </c>
      <c r="F856" s="42">
        <v>200</v>
      </c>
      <c r="G856" s="43">
        <v>72</v>
      </c>
      <c r="H856" s="447">
        <f>E856*G856</f>
        <v>14.4</v>
      </c>
      <c r="I856" s="63">
        <f>(2.9*F856)/100</f>
        <v>5.8</v>
      </c>
      <c r="J856" s="63">
        <f>(F856*2.5)/100</f>
        <v>5</v>
      </c>
      <c r="K856" s="63">
        <f>(4.8*F856)/100</f>
        <v>9.6</v>
      </c>
      <c r="L856" s="64">
        <f>(F856*60)/100</f>
        <v>120</v>
      </c>
      <c r="M856" s="618"/>
    </row>
    <row r="857" spans="1:13" ht="13.5" thickBot="1">
      <c r="A857" s="1773" t="s">
        <v>63</v>
      </c>
      <c r="B857" s="1773"/>
      <c r="C857" s="1773"/>
      <c r="D857" s="450" t="s">
        <v>64</v>
      </c>
      <c r="E857" s="66"/>
      <c r="F857" s="21"/>
      <c r="G857" s="22"/>
      <c r="H857" s="23">
        <f>H858+H859</f>
        <v>7.199999999999999</v>
      </c>
      <c r="I857" s="294">
        <f>SUM(I858:I860)</f>
        <v>4.96</v>
      </c>
      <c r="J857" s="294">
        <f>SUM(J858:J860)</f>
        <v>2.9099999999999997</v>
      </c>
      <c r="K857" s="294">
        <f>SUM(K858:K860)</f>
        <v>14.73</v>
      </c>
      <c r="L857" s="67">
        <f>SUM(L858:L860)</f>
        <v>105.7</v>
      </c>
      <c r="M857" s="618"/>
    </row>
    <row r="858" spans="1:13" ht="12.75">
      <c r="A858" s="350" t="s">
        <v>42</v>
      </c>
      <c r="B858" s="451"/>
      <c r="C858" s="452"/>
      <c r="D858" s="453"/>
      <c r="E858" s="454">
        <v>0.03</v>
      </c>
      <c r="F858" s="73">
        <v>30</v>
      </c>
      <c r="G858" s="74">
        <v>64</v>
      </c>
      <c r="H858" s="79">
        <f>E858*G858</f>
        <v>1.92</v>
      </c>
      <c r="I858" s="455">
        <f>(F858*8)/100</f>
        <v>2.4</v>
      </c>
      <c r="J858" s="455">
        <f>(F858*1)/100</f>
        <v>0.3</v>
      </c>
      <c r="K858" s="455">
        <f>(F858*49.1)/100</f>
        <v>14.73</v>
      </c>
      <c r="L858" s="456">
        <f>(F858*238)/100</f>
        <v>71.4</v>
      </c>
      <c r="M858" s="57"/>
    </row>
    <row r="859" spans="1:13" ht="13.5" thickBot="1">
      <c r="A859" s="457" t="s">
        <v>65</v>
      </c>
      <c r="B859" s="458"/>
      <c r="C859" s="458"/>
      <c r="D859" s="459"/>
      <c r="E859" s="460">
        <v>0.011</v>
      </c>
      <c r="F859" s="461">
        <v>10</v>
      </c>
      <c r="G859" s="461">
        <v>480</v>
      </c>
      <c r="H859" s="461">
        <f>G859*E859</f>
        <v>5.279999999999999</v>
      </c>
      <c r="I859" s="461">
        <f>(25.6*F859)/100</f>
        <v>2.56</v>
      </c>
      <c r="J859" s="461">
        <f>(26.1*F859)/100</f>
        <v>2.61</v>
      </c>
      <c r="K859" s="461"/>
      <c r="L859" s="462">
        <f>(F859*343)/100</f>
        <v>34.3</v>
      </c>
      <c r="M859" s="618"/>
    </row>
    <row r="860" spans="1:13" ht="12.75" customHeight="1">
      <c r="A860" s="656" t="s">
        <v>23</v>
      </c>
      <c r="B860" s="657"/>
      <c r="C860" s="657"/>
      <c r="D860" s="658"/>
      <c r="E860" s="659"/>
      <c r="F860" s="658"/>
      <c r="G860" s="660"/>
      <c r="H860" s="660">
        <f>H857+H853+H848</f>
        <v>38.46</v>
      </c>
      <c r="I860" s="661"/>
      <c r="J860" s="661"/>
      <c r="K860" s="662"/>
      <c r="L860" s="663"/>
      <c r="M860" s="57"/>
    </row>
    <row r="861" spans="1:13" ht="13.5" thickBot="1">
      <c r="A861" s="664"/>
      <c r="B861" s="683" t="s">
        <v>24</v>
      </c>
      <c r="C861" s="666"/>
      <c r="D861" s="667"/>
      <c r="E861" s="668"/>
      <c r="F861" s="667"/>
      <c r="G861" s="669"/>
      <c r="H861" s="669"/>
      <c r="I861" s="670">
        <f>I857+I853+I848</f>
        <v>17.36</v>
      </c>
      <c r="J861" s="670">
        <f>J857+J853+J848</f>
        <v>15.485</v>
      </c>
      <c r="K861" s="670">
        <f>K857+K853+K848</f>
        <v>62.367999999999995</v>
      </c>
      <c r="L861" s="670">
        <f>L857+L853+L848</f>
        <v>479.24</v>
      </c>
      <c r="M861" s="57"/>
    </row>
    <row r="862" spans="1:13" ht="12.75">
      <c r="A862" s="1259"/>
      <c r="B862" s="206"/>
      <c r="C862" s="206"/>
      <c r="D862" s="207"/>
      <c r="E862" s="671"/>
      <c r="F862" s="207"/>
      <c r="G862" s="210"/>
      <c r="H862" s="210"/>
      <c r="I862" s="211"/>
      <c r="J862" s="211"/>
      <c r="K862" s="672"/>
      <c r="L862" s="1260">
        <f>L861/1800</f>
        <v>0.26624444444444445</v>
      </c>
      <c r="M862" s="618"/>
    </row>
    <row r="863" spans="1:13" ht="13.5" thickBot="1">
      <c r="A863" s="1804" t="s">
        <v>66</v>
      </c>
      <c r="B863" s="1804"/>
      <c r="C863" s="1804"/>
      <c r="D863" s="208"/>
      <c r="E863" s="208"/>
      <c r="F863" s="208"/>
      <c r="G863" s="209"/>
      <c r="H863" s="209"/>
      <c r="I863" s="211"/>
      <c r="J863" s="223"/>
      <c r="K863" s="673"/>
      <c r="L863" s="732"/>
      <c r="M863" s="618"/>
    </row>
    <row r="864" spans="1:13" ht="13.5" thickBot="1">
      <c r="A864" s="1776" t="s">
        <v>26</v>
      </c>
      <c r="B864" s="1776"/>
      <c r="C864" s="1776"/>
      <c r="D864" s="103">
        <v>100</v>
      </c>
      <c r="E864" s="104"/>
      <c r="F864" s="104"/>
      <c r="G864" s="105"/>
      <c r="H864" s="106">
        <f>H865</f>
        <v>7</v>
      </c>
      <c r="I864" s="139"/>
      <c r="J864" s="140">
        <f>J865</f>
        <v>0</v>
      </c>
      <c r="K864" s="140">
        <f>K865</f>
        <v>10.1</v>
      </c>
      <c r="L864" s="140">
        <f>L865</f>
        <v>46</v>
      </c>
      <c r="M864" s="57"/>
    </row>
    <row r="865" spans="1:13" ht="12.75">
      <c r="A865" s="1777"/>
      <c r="B865" s="1777"/>
      <c r="C865" s="1777"/>
      <c r="D865" s="109"/>
      <c r="E865" s="110">
        <v>0.1</v>
      </c>
      <c r="F865" s="111">
        <v>100</v>
      </c>
      <c r="G865" s="112">
        <v>70</v>
      </c>
      <c r="H865" s="113">
        <f>E865*G865</f>
        <v>7</v>
      </c>
      <c r="I865" s="143"/>
      <c r="J865" s="143"/>
      <c r="K865" s="143">
        <f>(10.1*F865)/100</f>
        <v>10.1</v>
      </c>
      <c r="L865" s="146">
        <f>(F865*46)/100</f>
        <v>46</v>
      </c>
      <c r="M865" s="57"/>
    </row>
    <row r="866" spans="1:13" ht="12.75">
      <c r="A866" s="593"/>
      <c r="B866" s="337"/>
      <c r="C866" s="96"/>
      <c r="D866" s="50"/>
      <c r="E866" s="95"/>
      <c r="F866" s="96"/>
      <c r="G866" s="97"/>
      <c r="H866" s="97"/>
      <c r="I866" s="204"/>
      <c r="J866" s="204"/>
      <c r="K866" s="204"/>
      <c r="L866" s="205"/>
      <c r="M866" s="57"/>
    </row>
    <row r="867" spans="1:13" ht="15.75" thickBot="1">
      <c r="A867" s="457"/>
      <c r="B867" s="458"/>
      <c r="C867" s="474"/>
      <c r="D867" s="475"/>
      <c r="E867" s="476"/>
      <c r="F867" s="477"/>
      <c r="G867" s="478"/>
      <c r="H867" s="478"/>
      <c r="I867" s="479"/>
      <c r="J867" s="479"/>
      <c r="K867" s="479"/>
      <c r="L867" s="480"/>
      <c r="M867" s="1261"/>
    </row>
    <row r="868" spans="1:14" ht="15.75">
      <c r="A868" s="674" t="s">
        <v>27</v>
      </c>
      <c r="B868" s="675"/>
      <c r="C868" s="676"/>
      <c r="D868" s="677"/>
      <c r="E868" s="677"/>
      <c r="F868" s="677"/>
      <c r="G868" s="678"/>
      <c r="H868" s="679">
        <f>H864</f>
        <v>7</v>
      </c>
      <c r="I868" s="680"/>
      <c r="J868" s="680"/>
      <c r="K868" s="680"/>
      <c r="L868" s="897">
        <f>L864/1800</f>
        <v>0.025555555555555557</v>
      </c>
      <c r="M868" s="618"/>
      <c r="N868" s="221"/>
    </row>
    <row r="869" spans="1:14" ht="13.5" thickBot="1">
      <c r="A869" s="682"/>
      <c r="B869" s="683" t="s">
        <v>24</v>
      </c>
      <c r="C869" s="683"/>
      <c r="D869" s="667"/>
      <c r="E869" s="667"/>
      <c r="F869" s="667"/>
      <c r="G869" s="669"/>
      <c r="H869" s="669"/>
      <c r="I869" s="1262">
        <f>I864</f>
        <v>0</v>
      </c>
      <c r="J869" s="1262">
        <f>J864</f>
        <v>0</v>
      </c>
      <c r="K869" s="1262">
        <f>K864</f>
        <v>10.1</v>
      </c>
      <c r="L869" s="1262">
        <f>L864</f>
        <v>46</v>
      </c>
      <c r="M869" s="1263"/>
      <c r="N869" s="264"/>
    </row>
    <row r="870" spans="1:14" ht="12.75" customHeight="1" thickBot="1">
      <c r="A870" s="826" t="s">
        <v>67</v>
      </c>
      <c r="B870" s="822">
        <v>0.5</v>
      </c>
      <c r="C870" s="823"/>
      <c r="D870" s="824"/>
      <c r="E870" s="824"/>
      <c r="F870" s="824"/>
      <c r="G870" s="825"/>
      <c r="H870" s="825"/>
      <c r="I870" s="826"/>
      <c r="J870" s="826"/>
      <c r="K870" s="827"/>
      <c r="L870" s="828"/>
      <c r="M870" s="1263"/>
      <c r="N870" s="264"/>
    </row>
    <row r="871" spans="1:14" ht="13.5" thickBot="1">
      <c r="A871" s="1809" t="s">
        <v>182</v>
      </c>
      <c r="B871" s="1809"/>
      <c r="C871" s="1809"/>
      <c r="D871" s="829">
        <v>250</v>
      </c>
      <c r="E871" s="693"/>
      <c r="F871" s="104"/>
      <c r="G871" s="105"/>
      <c r="H871" s="106">
        <f>SUM(H872:H879)</f>
        <v>18.0867</v>
      </c>
      <c r="I871" s="108">
        <f>SUM(I872:I879)</f>
        <v>6.412</v>
      </c>
      <c r="J871" s="108">
        <f>SUM(J872:J879)</f>
        <v>6.665</v>
      </c>
      <c r="K871" s="108">
        <f>SUM(K872:K879)</f>
        <v>25.164</v>
      </c>
      <c r="L871" s="108">
        <f>SUM(L872:L879)</f>
        <v>197.78000000000003</v>
      </c>
      <c r="M871" s="1264"/>
      <c r="N871" s="830"/>
    </row>
    <row r="872" spans="1:14" ht="12.75">
      <c r="A872" s="340" t="s">
        <v>75</v>
      </c>
      <c r="B872" s="493"/>
      <c r="C872" s="493"/>
      <c r="D872" s="515"/>
      <c r="E872" s="190">
        <v>0.032</v>
      </c>
      <c r="F872" s="191">
        <v>24</v>
      </c>
      <c r="G872" s="192">
        <v>240</v>
      </c>
      <c r="H872" s="193">
        <f>G872*E872</f>
        <v>7.68</v>
      </c>
      <c r="I872" s="495"/>
      <c r="J872" s="495">
        <f>(F872*16)/100</f>
        <v>3.84</v>
      </c>
      <c r="K872" s="495"/>
      <c r="L872" s="496">
        <f>(F872*190)/100</f>
        <v>45.6</v>
      </c>
      <c r="M872" s="618"/>
      <c r="N872" s="221"/>
    </row>
    <row r="873" spans="1:14" ht="12.75">
      <c r="A873" s="318" t="s">
        <v>16</v>
      </c>
      <c r="B873" s="319"/>
      <c r="C873" s="319"/>
      <c r="D873" s="1115"/>
      <c r="E873" s="904">
        <v>0.003</v>
      </c>
      <c r="F873" s="905">
        <v>3</v>
      </c>
      <c r="G873" s="273">
        <v>300</v>
      </c>
      <c r="H873" s="324">
        <f>E873*G873</f>
        <v>0.9</v>
      </c>
      <c r="I873" s="518">
        <f>(F873*1)/100</f>
        <v>0.03</v>
      </c>
      <c r="J873" s="518">
        <f>(F873*72.5)/100</f>
        <v>2.175</v>
      </c>
      <c r="K873" s="518">
        <f>(F873*1.4)/100</f>
        <v>0.041999999999999996</v>
      </c>
      <c r="L873" s="519">
        <f>(F873*662)/100</f>
        <v>19.86</v>
      </c>
      <c r="M873" s="618"/>
      <c r="N873" s="221"/>
    </row>
    <row r="874" spans="1:14" ht="12.75">
      <c r="A874" s="1117" t="s">
        <v>183</v>
      </c>
      <c r="B874" s="1118"/>
      <c r="C874" s="1118"/>
      <c r="D874" s="260"/>
      <c r="E874" s="1119">
        <v>0.017</v>
      </c>
      <c r="F874" s="1120">
        <v>17</v>
      </c>
      <c r="G874" s="1265">
        <v>62.1</v>
      </c>
      <c r="H874" s="324">
        <f>E874*G874</f>
        <v>1.0557</v>
      </c>
      <c r="I874" s="204">
        <f>(F874*23)/100</f>
        <v>3.91</v>
      </c>
      <c r="J874" s="204">
        <f>(F874*1.6)/100</f>
        <v>0.272</v>
      </c>
      <c r="K874" s="204">
        <f>(48.1*F874)/100</f>
        <v>8.177</v>
      </c>
      <c r="L874" s="274">
        <f>(299*F874)/100</f>
        <v>50.83</v>
      </c>
      <c r="M874" s="618"/>
      <c r="N874" s="837"/>
    </row>
    <row r="875" spans="1:14" ht="12.75">
      <c r="A875" s="1117" t="s">
        <v>48</v>
      </c>
      <c r="B875" s="1118"/>
      <c r="C875" s="1118"/>
      <c r="D875" s="260"/>
      <c r="E875" s="1119">
        <v>0.03</v>
      </c>
      <c r="F875" s="1120">
        <v>15</v>
      </c>
      <c r="G875" s="215">
        <v>64</v>
      </c>
      <c r="H875" s="215">
        <f>E875*G875</f>
        <v>1.92</v>
      </c>
      <c r="I875" s="455">
        <f>(F875*8)/100</f>
        <v>1.2</v>
      </c>
      <c r="J875" s="455">
        <f>(F875*1)/100</f>
        <v>0.15</v>
      </c>
      <c r="K875" s="455">
        <f>(F875*49.1)/100</f>
        <v>7.365</v>
      </c>
      <c r="L875" s="456">
        <f>(F875*238)/100</f>
        <v>35.7</v>
      </c>
      <c r="M875" s="618"/>
      <c r="N875" s="221"/>
    </row>
    <row r="876" spans="1:14" ht="12.75">
      <c r="A876" s="318" t="s">
        <v>32</v>
      </c>
      <c r="B876" s="319"/>
      <c r="C876" s="907"/>
      <c r="D876" s="1121"/>
      <c r="E876" s="904">
        <v>0.08</v>
      </c>
      <c r="F876" s="905">
        <v>48</v>
      </c>
      <c r="G876" s="273">
        <v>56</v>
      </c>
      <c r="H876" s="324">
        <f>E876*G876</f>
        <v>4.48</v>
      </c>
      <c r="I876" s="204">
        <f>(F876*2)/100</f>
        <v>0.96</v>
      </c>
      <c r="J876" s="204">
        <f>(F876*0.4)/100</f>
        <v>0.19200000000000003</v>
      </c>
      <c r="K876" s="204">
        <f>(F876*16.3)/100</f>
        <v>7.824000000000001</v>
      </c>
      <c r="L876" s="274">
        <f>(F876*77)/100</f>
        <v>36.96</v>
      </c>
      <c r="M876" s="618"/>
      <c r="N876" s="221"/>
    </row>
    <row r="877" spans="1:14" ht="12.75">
      <c r="A877" s="248" t="s">
        <v>33</v>
      </c>
      <c r="B877" s="249"/>
      <c r="C877" s="1122"/>
      <c r="D877" s="260"/>
      <c r="E877" s="709">
        <v>0.017</v>
      </c>
      <c r="F877" s="204">
        <v>13</v>
      </c>
      <c r="G877" s="507">
        <v>63</v>
      </c>
      <c r="H877" s="324">
        <f>E877*G877</f>
        <v>1.0710000000000002</v>
      </c>
      <c r="I877" s="204">
        <f>(F877*1.4)/100</f>
        <v>0.182</v>
      </c>
      <c r="J877" s="204">
        <f>(F877*0.2)/100</f>
        <v>0.026000000000000002</v>
      </c>
      <c r="K877" s="204">
        <f>(F877*8.2)/100</f>
        <v>1.0659999999999998</v>
      </c>
      <c r="L877" s="205">
        <f>(F877*41)/100</f>
        <v>5.33</v>
      </c>
      <c r="M877" s="618"/>
      <c r="N877" s="221"/>
    </row>
    <row r="878" spans="1:26" ht="23.25" customHeight="1">
      <c r="A878" s="248" t="s">
        <v>34</v>
      </c>
      <c r="B878" s="249"/>
      <c r="C878" s="1122"/>
      <c r="D878" s="260"/>
      <c r="E878" s="709">
        <v>0.014</v>
      </c>
      <c r="F878" s="204">
        <v>10</v>
      </c>
      <c r="G878" s="507">
        <v>70</v>
      </c>
      <c r="H878" s="324">
        <f>G878*E878</f>
        <v>0.98</v>
      </c>
      <c r="I878" s="204">
        <f>(F878*1.3)/100</f>
        <v>0.13</v>
      </c>
      <c r="J878" s="204">
        <f>(F878*0.1)/100</f>
        <v>0.01</v>
      </c>
      <c r="K878" s="204">
        <f>(F878*6.9)/100</f>
        <v>0.69</v>
      </c>
      <c r="L878" s="274">
        <f>(F878*35)/100</f>
        <v>3.5</v>
      </c>
      <c r="M878" s="618"/>
      <c r="N878" s="221"/>
      <c r="O878" s="1047"/>
      <c r="P878" s="1047"/>
      <c r="Q878" s="207"/>
      <c r="R878" s="208"/>
      <c r="S878" s="208"/>
      <c r="T878" s="209"/>
      <c r="U878" s="210"/>
      <c r="V878" s="207"/>
      <c r="W878" s="207"/>
      <c r="X878" s="207"/>
      <c r="Y878" s="207"/>
      <c r="Z878" s="207"/>
    </row>
    <row r="879" spans="1:26" ht="13.5" thickBot="1">
      <c r="A879" s="225"/>
      <c r="B879" s="226"/>
      <c r="C879" s="226"/>
      <c r="D879" s="227"/>
      <c r="E879" s="228"/>
      <c r="F879" s="229"/>
      <c r="G879" s="230"/>
      <c r="H879" s="230"/>
      <c r="I879" s="231"/>
      <c r="J879" s="231"/>
      <c r="K879" s="231"/>
      <c r="L879" s="232"/>
      <c r="M879" s="618"/>
      <c r="N879" s="221"/>
      <c r="O879" s="57"/>
      <c r="P879" s="57"/>
      <c r="Q879" s="207"/>
      <c r="R879" s="222"/>
      <c r="S879" s="223"/>
      <c r="T879" s="209"/>
      <c r="U879" s="224"/>
      <c r="V879" s="152"/>
      <c r="W879" s="152"/>
      <c r="X879" s="152"/>
      <c r="Y879" s="152"/>
      <c r="Z879" s="152"/>
    </row>
    <row r="880" spans="1:26" ht="13.5" thickBot="1">
      <c r="A880" s="1815" t="s">
        <v>184</v>
      </c>
      <c r="B880" s="1815"/>
      <c r="C880" s="1815"/>
      <c r="D880" s="637">
        <v>70</v>
      </c>
      <c r="E880" s="282"/>
      <c r="F880" s="282"/>
      <c r="G880" s="283"/>
      <c r="H880" s="106">
        <f>H881+H883+H884+H885+H887+H882+H886</f>
        <v>37.013</v>
      </c>
      <c r="I880" s="285">
        <f>SUM(I881:I887)</f>
        <v>16.857</v>
      </c>
      <c r="J880" s="285">
        <f>SUM(J881:J887)</f>
        <v>5.679</v>
      </c>
      <c r="K880" s="285">
        <f>SUM(K881:K887)</f>
        <v>41.228</v>
      </c>
      <c r="L880" s="285">
        <f>SUM(L881:L887)</f>
        <v>283.27</v>
      </c>
      <c r="M880" s="618"/>
      <c r="N880" s="221"/>
      <c r="O880" s="57"/>
      <c r="P880" s="57"/>
      <c r="Q880" s="207"/>
      <c r="R880" s="222"/>
      <c r="S880" s="223"/>
      <c r="T880" s="209"/>
      <c r="U880" s="224"/>
      <c r="V880" s="233"/>
      <c r="W880" s="233"/>
      <c r="X880" s="233"/>
      <c r="Y880" s="233"/>
      <c r="Z880" s="233"/>
    </row>
    <row r="881" spans="1:26" ht="12.75">
      <c r="A881" s="504" t="s">
        <v>107</v>
      </c>
      <c r="B881" s="342"/>
      <c r="C881" s="342"/>
      <c r="D881" s="1266"/>
      <c r="E881" s="1267">
        <v>0.1</v>
      </c>
      <c r="F881" s="1266">
        <v>70</v>
      </c>
      <c r="G881" s="1268">
        <v>300</v>
      </c>
      <c r="H881" s="1269">
        <f>E881*G881</f>
        <v>30</v>
      </c>
      <c r="I881" s="1270">
        <f>(F881*17.2)/100</f>
        <v>12.04</v>
      </c>
      <c r="J881" s="1270">
        <f>(0.5*F881)/100</f>
        <v>0.35</v>
      </c>
      <c r="K881" s="1270"/>
      <c r="L881" s="1271">
        <f>(73*F881)/100</f>
        <v>51.1</v>
      </c>
      <c r="M881" s="618"/>
      <c r="O881" s="837"/>
      <c r="P881" s="837"/>
      <c r="Q881" s="247"/>
      <c r="R881" s="838"/>
      <c r="S881" s="221"/>
      <c r="T881" s="224"/>
      <c r="U881" s="224"/>
      <c r="V881" s="237"/>
      <c r="W881" s="237"/>
      <c r="X881" s="237"/>
      <c r="Y881" s="237"/>
      <c r="Z881" s="237"/>
    </row>
    <row r="882" spans="1:26" ht="12.75">
      <c r="A882" s="1070" t="s">
        <v>37</v>
      </c>
      <c r="B882" s="78"/>
      <c r="C882" s="78"/>
      <c r="D882" s="71"/>
      <c r="E882" s="77">
        <v>0.002</v>
      </c>
      <c r="F882" s="78">
        <v>2</v>
      </c>
      <c r="G882" s="79">
        <v>129</v>
      </c>
      <c r="H882" s="290">
        <f>G882*E882</f>
        <v>0.258</v>
      </c>
      <c r="I882" s="521"/>
      <c r="J882" s="455">
        <f>(F882*99.9)/100</f>
        <v>1.9980000000000002</v>
      </c>
      <c r="K882" s="80"/>
      <c r="L882" s="522">
        <f>(F882*899)/100</f>
        <v>17.98</v>
      </c>
      <c r="M882" s="618"/>
      <c r="O882" s="57"/>
      <c r="P882" s="57"/>
      <c r="Q882" s="207"/>
      <c r="R882" s="222"/>
      <c r="S882" s="223"/>
      <c r="T882" s="209"/>
      <c r="U882" s="224"/>
      <c r="V882" s="223"/>
      <c r="W882" s="223"/>
      <c r="X882" s="223"/>
      <c r="Y882" s="223"/>
      <c r="Z882" s="223"/>
    </row>
    <row r="883" spans="1:26" ht="12.75">
      <c r="A883" s="248" t="s">
        <v>16</v>
      </c>
      <c r="B883" s="250"/>
      <c r="C883" s="250"/>
      <c r="D883" s="708"/>
      <c r="E883" s="904">
        <v>0.003</v>
      </c>
      <c r="F883" s="905">
        <v>3</v>
      </c>
      <c r="G883" s="273">
        <v>300</v>
      </c>
      <c r="H883" s="255">
        <f>E883*G883</f>
        <v>0.9</v>
      </c>
      <c r="I883" s="45">
        <f>(F883*1)/100</f>
        <v>0.03</v>
      </c>
      <c r="J883" s="45">
        <f>(F883*72.5)/100</f>
        <v>2.175</v>
      </c>
      <c r="K883" s="45">
        <f>(F883*1.4)/100</f>
        <v>0.041999999999999996</v>
      </c>
      <c r="L883" s="46">
        <f>(F883*662)/100</f>
        <v>19.86</v>
      </c>
      <c r="M883" s="618"/>
      <c r="O883" s="57"/>
      <c r="P883" s="57"/>
      <c r="Q883" s="207"/>
      <c r="R883" s="222"/>
      <c r="S883" s="223"/>
      <c r="T883" s="209"/>
      <c r="U883" s="224"/>
      <c r="V883" s="223"/>
      <c r="W883" s="223"/>
      <c r="X883" s="223"/>
      <c r="Y883" s="223"/>
      <c r="Z883" s="223"/>
    </row>
    <row r="884" spans="1:26" ht="12.75">
      <c r="A884" s="47" t="s">
        <v>33</v>
      </c>
      <c r="B884" s="48"/>
      <c r="C884" s="48"/>
      <c r="D884" s="1272"/>
      <c r="E884" s="95">
        <v>0.01</v>
      </c>
      <c r="F884" s="54">
        <v>8</v>
      </c>
      <c r="G884" s="273">
        <v>63</v>
      </c>
      <c r="H884" s="255">
        <f>E884*G884</f>
        <v>0.63</v>
      </c>
      <c r="I884" s="204">
        <f>(F884*1.4)/100</f>
        <v>0.11199999999999999</v>
      </c>
      <c r="J884" s="204">
        <f>(F884*0.2)/100</f>
        <v>0.016</v>
      </c>
      <c r="K884" s="204">
        <f>(F884*8.2)/100</f>
        <v>0.6559999999999999</v>
      </c>
      <c r="L884" s="205">
        <f>(F884*41)/100</f>
        <v>3.28</v>
      </c>
      <c r="M884" s="618"/>
      <c r="O884" s="57"/>
      <c r="P884" s="57"/>
      <c r="Q884" s="207"/>
      <c r="R884" s="222"/>
      <c r="S884" s="223"/>
      <c r="T884" s="209"/>
      <c r="U884" s="224"/>
      <c r="V884" s="223"/>
      <c r="W884" s="223"/>
      <c r="X884" s="223"/>
      <c r="Y884" s="223"/>
      <c r="Z884" s="223"/>
    </row>
    <row r="885" spans="1:26" ht="12.75">
      <c r="A885" s="248" t="s">
        <v>46</v>
      </c>
      <c r="B885" s="249"/>
      <c r="C885" s="249"/>
      <c r="D885" s="1273"/>
      <c r="E885" s="717">
        <v>0.006</v>
      </c>
      <c r="F885" s="941">
        <v>5</v>
      </c>
      <c r="G885" s="1274">
        <v>230</v>
      </c>
      <c r="H885" s="112">
        <f>E885*G885</f>
        <v>1.3800000000000001</v>
      </c>
      <c r="I885" s="258">
        <f>(12.7*F885)/100</f>
        <v>0.635</v>
      </c>
      <c r="J885" s="258">
        <f>(F885*11.5)/100</f>
        <v>0.575</v>
      </c>
      <c r="K885" s="258">
        <f>(F885*0.7)/100</f>
        <v>0.035</v>
      </c>
      <c r="L885" s="327">
        <f>(157*F885)/100</f>
        <v>7.85</v>
      </c>
      <c r="M885" s="618"/>
      <c r="O885" s="221"/>
      <c r="P885" s="221"/>
      <c r="Q885" s="247"/>
      <c r="R885" s="222"/>
      <c r="S885" s="223"/>
      <c r="T885" s="266"/>
      <c r="U885" s="267"/>
      <c r="V885" s="332"/>
      <c r="W885" s="332"/>
      <c r="X885" s="332"/>
      <c r="Y885" s="332"/>
      <c r="Z885" s="223"/>
    </row>
    <row r="886" spans="1:26" ht="12.75">
      <c r="A886" s="248" t="s">
        <v>76</v>
      </c>
      <c r="B886" s="249"/>
      <c r="C886" s="249"/>
      <c r="D886" s="1273"/>
      <c r="E886" s="717">
        <v>0.005</v>
      </c>
      <c r="F886" s="941">
        <v>5</v>
      </c>
      <c r="G886" s="53">
        <v>49</v>
      </c>
      <c r="H886" s="145">
        <f>G886*E886</f>
        <v>0.245</v>
      </c>
      <c r="I886" s="455">
        <f>(F886*10.8)/100</f>
        <v>0.54</v>
      </c>
      <c r="J886" s="455">
        <f>(F886*1.3)/100</f>
        <v>0.065</v>
      </c>
      <c r="K886" s="455">
        <f>(F886*69.9)/100</f>
        <v>3.495</v>
      </c>
      <c r="L886" s="456">
        <f>(F886*334)/100</f>
        <v>16.7</v>
      </c>
      <c r="M886" s="618"/>
      <c r="O886" s="221"/>
      <c r="P886" s="221"/>
      <c r="Q886" s="247"/>
      <c r="R886" s="222"/>
      <c r="S886" s="223"/>
      <c r="T886" s="209"/>
      <c r="U886" s="224"/>
      <c r="V886" s="223"/>
      <c r="W886" s="223"/>
      <c r="X886" s="223"/>
      <c r="Y886" s="237"/>
      <c r="Z886" s="223"/>
    </row>
    <row r="887" spans="1:25" ht="12.75" customHeight="1" thickBot="1">
      <c r="A887" s="225" t="s">
        <v>18</v>
      </c>
      <c r="B887" s="1128"/>
      <c r="C887" s="1128"/>
      <c r="D887" s="1129"/>
      <c r="E887" s="476">
        <v>0.05</v>
      </c>
      <c r="F887" s="477">
        <v>50</v>
      </c>
      <c r="G887" s="478">
        <v>72</v>
      </c>
      <c r="H887" s="1139">
        <f>G887*E887</f>
        <v>3.6</v>
      </c>
      <c r="I887" s="1140">
        <f>(F887*7)/100</f>
        <v>3.5</v>
      </c>
      <c r="J887" s="1140">
        <f>(F887*1)/100</f>
        <v>0.5</v>
      </c>
      <c r="K887" s="1140">
        <f>(74*F887)/100</f>
        <v>37</v>
      </c>
      <c r="L887" s="1141">
        <f>(F887*333)/100</f>
        <v>166.5</v>
      </c>
      <c r="M887" s="618"/>
      <c r="O887" s="221"/>
      <c r="P887" s="221"/>
      <c r="Q887" s="247"/>
      <c r="R887" s="1052"/>
      <c r="S887" s="57"/>
      <c r="T887" s="209"/>
      <c r="U887" s="209"/>
      <c r="V887" s="207"/>
      <c r="W887" s="207"/>
      <c r="X887" s="207"/>
      <c r="Y887" s="207"/>
    </row>
    <row r="888" spans="1:13" ht="13.5" thickBot="1">
      <c r="A888" s="309" t="s">
        <v>109</v>
      </c>
      <c r="B888" s="310"/>
      <c r="C888" s="310"/>
      <c r="D888" s="311">
        <v>130</v>
      </c>
      <c r="E888" s="312"/>
      <c r="F888" s="282"/>
      <c r="G888" s="283"/>
      <c r="H888" s="284">
        <f>SUM(H889:H891)</f>
        <v>15.459999999999999</v>
      </c>
      <c r="I888" s="285">
        <f>I889+I890+I891</f>
        <v>3.7</v>
      </c>
      <c r="J888" s="285">
        <f>J889+J890+J891</f>
        <v>5.3149999999999995</v>
      </c>
      <c r="K888" s="285">
        <f>K889+K890+K891</f>
        <v>20.4</v>
      </c>
      <c r="L888" s="285">
        <f>L889+L890+L891</f>
        <v>147.8</v>
      </c>
      <c r="M888" s="618"/>
    </row>
    <row r="889" spans="1:13" ht="12.75">
      <c r="A889" s="429" t="s">
        <v>32</v>
      </c>
      <c r="B889" s="430"/>
      <c r="C889" s="430"/>
      <c r="D889" s="751"/>
      <c r="E889" s="752">
        <v>0.185</v>
      </c>
      <c r="F889" s="753">
        <v>110</v>
      </c>
      <c r="G889" s="192">
        <v>56</v>
      </c>
      <c r="H889" s="192">
        <f>E889*G889</f>
        <v>10.36</v>
      </c>
      <c r="I889" s="213">
        <f>(F889*2)/100</f>
        <v>2.2</v>
      </c>
      <c r="J889" s="213">
        <f>(F889*0.4)/100</f>
        <v>0.44</v>
      </c>
      <c r="K889" s="213">
        <f>(F889*16.3)/100</f>
        <v>17.93</v>
      </c>
      <c r="L889" s="216">
        <f>(F889*77)/100</f>
        <v>84.7</v>
      </c>
      <c r="M889" s="618"/>
    </row>
    <row r="890" spans="1:13" ht="12.75">
      <c r="A890" s="429" t="s">
        <v>18</v>
      </c>
      <c r="B890" s="430"/>
      <c r="C890" s="430"/>
      <c r="D890" s="751"/>
      <c r="E890" s="754">
        <v>0.05</v>
      </c>
      <c r="F890" s="755">
        <v>50</v>
      </c>
      <c r="G890" s="756">
        <v>72</v>
      </c>
      <c r="H890" s="756">
        <f>G890*E890</f>
        <v>3.6</v>
      </c>
      <c r="I890" s="63">
        <f>(2.9*F890)/100</f>
        <v>1.45</v>
      </c>
      <c r="J890" s="63">
        <f>(F890*2.5)/100</f>
        <v>1.25</v>
      </c>
      <c r="K890" s="63">
        <f>(4.8*F890)/100</f>
        <v>2.4</v>
      </c>
      <c r="L890" s="64">
        <f>(F890*60)/100</f>
        <v>30</v>
      </c>
      <c r="M890" s="618"/>
    </row>
    <row r="891" spans="1:13" ht="13.5" thickBot="1">
      <c r="A891" s="429" t="s">
        <v>16</v>
      </c>
      <c r="B891" s="430"/>
      <c r="C891" s="430"/>
      <c r="D891" s="751"/>
      <c r="E891" s="544">
        <v>0.005</v>
      </c>
      <c r="F891" s="545">
        <v>5</v>
      </c>
      <c r="G891" s="546">
        <v>300</v>
      </c>
      <c r="H891" s="756">
        <f>G891*E891</f>
        <v>1.5</v>
      </c>
      <c r="I891" s="45">
        <f>(F891*1)/100</f>
        <v>0.05</v>
      </c>
      <c r="J891" s="45">
        <f>(F891*72.5)/100</f>
        <v>3.625</v>
      </c>
      <c r="K891" s="45">
        <f>(F891*1.4)/100</f>
        <v>0.07</v>
      </c>
      <c r="L891" s="46">
        <f>(F891*662)/100</f>
        <v>33.1</v>
      </c>
      <c r="M891" s="618"/>
    </row>
    <row r="892" spans="1:13" ht="13.5" thickBot="1">
      <c r="A892" s="309"/>
      <c r="B892" s="310"/>
      <c r="C892" s="310"/>
      <c r="D892" s="311"/>
      <c r="E892" s="1068"/>
      <c r="F892" s="1069"/>
      <c r="G892" s="283"/>
      <c r="H892" s="1275"/>
      <c r="I892" s="654"/>
      <c r="J892" s="654"/>
      <c r="K892" s="654"/>
      <c r="L892" s="655"/>
      <c r="M892" s="618"/>
    </row>
    <row r="893" spans="1:13" ht="13.5" thickBot="1">
      <c r="A893" s="1776" t="s">
        <v>155</v>
      </c>
      <c r="B893" s="1776"/>
      <c r="C893" s="1776"/>
      <c r="D893" s="103">
        <v>200</v>
      </c>
      <c r="E893" s="331"/>
      <c r="F893" s="331"/>
      <c r="G893" s="105"/>
      <c r="H893" s="106">
        <f>H894+H895</f>
        <v>4.05</v>
      </c>
      <c r="I893" s="108">
        <f>I894+I895</f>
        <v>0.24</v>
      </c>
      <c r="J893" s="108">
        <f>J894+J895</f>
        <v>0.10500000000000002</v>
      </c>
      <c r="K893" s="108">
        <f>K894+K895</f>
        <v>18.330000000000002</v>
      </c>
      <c r="L893" s="108">
        <f>L894+L895</f>
        <v>76.2</v>
      </c>
      <c r="M893" s="57"/>
    </row>
    <row r="894" spans="1:13" ht="15">
      <c r="A894" s="538" t="s">
        <v>82</v>
      </c>
      <c r="B894" s="539"/>
      <c r="C894" s="540"/>
      <c r="D894" s="541"/>
      <c r="E894" s="261">
        <v>0.015</v>
      </c>
      <c r="F894" s="262">
        <v>15</v>
      </c>
      <c r="G894" s="112">
        <v>180</v>
      </c>
      <c r="H894" s="113">
        <f>E894*G894</f>
        <v>2.6999999999999997</v>
      </c>
      <c r="I894" s="111">
        <f>(F894*1.6)/100</f>
        <v>0.24</v>
      </c>
      <c r="J894" s="111">
        <f>(0.7*F894)/100</f>
        <v>0.10500000000000002</v>
      </c>
      <c r="K894" s="111">
        <f>(22.4*F894)/100</f>
        <v>3.36</v>
      </c>
      <c r="L894" s="263">
        <f>(109*F894)/100</f>
        <v>16.35</v>
      </c>
      <c r="M894" s="1261"/>
    </row>
    <row r="895" spans="1:13" ht="15.75" thickBot="1">
      <c r="A895" s="248" t="s">
        <v>17</v>
      </c>
      <c r="B895" s="250"/>
      <c r="C895" s="1053"/>
      <c r="D895" s="1054"/>
      <c r="E895" s="252">
        <v>0.015</v>
      </c>
      <c r="F895" s="253">
        <v>15</v>
      </c>
      <c r="G895" s="254">
        <v>90</v>
      </c>
      <c r="H895" s="255">
        <f>E895*G895</f>
        <v>1.3499999999999999</v>
      </c>
      <c r="I895" s="54"/>
      <c r="J895" s="54"/>
      <c r="K895" s="54">
        <f>(F895*99.8)/100</f>
        <v>14.97</v>
      </c>
      <c r="L895" s="55">
        <f>(F895*399)/100</f>
        <v>59.85</v>
      </c>
      <c r="M895" s="1261"/>
    </row>
    <row r="896" spans="1:13" ht="15.75" thickBot="1">
      <c r="A896" s="1780" t="s">
        <v>41</v>
      </c>
      <c r="B896" s="1780"/>
      <c r="C896" s="1780"/>
      <c r="D896" s="927">
        <v>50</v>
      </c>
      <c r="E896" s="66">
        <v>0.05</v>
      </c>
      <c r="F896" s="21">
        <v>50</v>
      </c>
      <c r="G896" s="22">
        <v>35</v>
      </c>
      <c r="H896" s="1154">
        <f>E896*G896</f>
        <v>1.75</v>
      </c>
      <c r="I896" s="294">
        <f>(6.6*F896)/100</f>
        <v>3.3</v>
      </c>
      <c r="J896" s="294">
        <f>(1.2*F896)/100</f>
        <v>0.6</v>
      </c>
      <c r="K896" s="294">
        <f>(33.4*F896)/100</f>
        <v>16.7</v>
      </c>
      <c r="L896" s="67">
        <f>(174*F896)/100</f>
        <v>87</v>
      </c>
      <c r="M896" s="1261"/>
    </row>
    <row r="897" spans="1:13" ht="13.5" thickBot="1">
      <c r="A897" s="1276"/>
      <c r="B897" s="1277"/>
      <c r="C897" s="1277"/>
      <c r="D897" s="1149"/>
      <c r="E897" s="1278"/>
      <c r="F897" s="1279"/>
      <c r="G897" s="1280"/>
      <c r="H897" s="1280"/>
      <c r="I897" s="343"/>
      <c r="J897" s="343"/>
      <c r="K897" s="343"/>
      <c r="L897" s="344"/>
      <c r="M897" s="618"/>
    </row>
    <row r="898" spans="1:13" ht="12.75">
      <c r="A898" s="56"/>
      <c r="B898" s="221"/>
      <c r="C898" s="221"/>
      <c r="D898" s="221"/>
      <c r="E898" s="57"/>
      <c r="F898" s="57"/>
      <c r="G898" s="209"/>
      <c r="H898" s="209"/>
      <c r="I898" s="223"/>
      <c r="J898" s="223"/>
      <c r="K898" s="223"/>
      <c r="L898" s="732"/>
      <c r="M898" s="618"/>
    </row>
    <row r="899" spans="1:13" ht="16.5" thickBot="1">
      <c r="A899" s="1281"/>
      <c r="B899" s="1282"/>
      <c r="C899" s="1283" t="s">
        <v>43</v>
      </c>
      <c r="D899" s="1283"/>
      <c r="E899" s="1283"/>
      <c r="F899" s="1283"/>
      <c r="G899" s="1284"/>
      <c r="H899" s="1284">
        <f>H897+H896+H893+H888+H880+H871+H892</f>
        <v>76.3597</v>
      </c>
      <c r="I899" s="1285"/>
      <c r="J899" s="1286"/>
      <c r="K899" s="1286"/>
      <c r="L899" s="1287"/>
      <c r="M899" s="618"/>
    </row>
    <row r="900" spans="1:13" ht="12.75" customHeight="1" thickBot="1">
      <c r="A900" s="855"/>
      <c r="B900" s="740" t="s">
        <v>24</v>
      </c>
      <c r="C900" s="740"/>
      <c r="D900" s="740"/>
      <c r="E900" s="740"/>
      <c r="F900" s="740"/>
      <c r="G900" s="742"/>
      <c r="H900" s="742"/>
      <c r="I900" s="930">
        <f>I897+I896+I893+I888+I880+I871+I892</f>
        <v>30.509</v>
      </c>
      <c r="J900" s="930">
        <f>J897+J896+J893+J888+J880+J871+J892</f>
        <v>18.364</v>
      </c>
      <c r="K900" s="930">
        <f>K897+K896+K893+K888+K880+K871+K892</f>
        <v>121.822</v>
      </c>
      <c r="L900" s="930">
        <f>L897+L896+L893+L888+L880+L871+L892</f>
        <v>792.05</v>
      </c>
      <c r="M900" s="618"/>
    </row>
    <row r="901" spans="1:13" ht="13.5" thickBot="1">
      <c r="A901" s="211" t="s">
        <v>44</v>
      </c>
      <c r="B901" s="633" t="s">
        <v>105</v>
      </c>
      <c r="C901" s="57"/>
      <c r="D901" s="57"/>
      <c r="E901" s="57"/>
      <c r="F901" s="57"/>
      <c r="G901" s="57"/>
      <c r="H901" s="57"/>
      <c r="I901" s="211"/>
      <c r="J901" s="211"/>
      <c r="K901" s="209"/>
      <c r="L901" s="1059">
        <f>L900/1800</f>
        <v>0.44002777777777774</v>
      </c>
      <c r="M901" s="618"/>
    </row>
    <row r="902" spans="1:14" ht="13.5" thickBot="1">
      <c r="A902" s="1773" t="s">
        <v>185</v>
      </c>
      <c r="B902" s="1773"/>
      <c r="C902" s="1773"/>
      <c r="D902" s="20">
        <v>90</v>
      </c>
      <c r="E902" s="21"/>
      <c r="F902" s="21"/>
      <c r="G902" s="22"/>
      <c r="H902" s="23">
        <f>H903+H904+H905+H906+H907+H908+H909</f>
        <v>9.149000000000001</v>
      </c>
      <c r="I902" s="67">
        <f>I903+I904+I905+I906+I907+I908</f>
        <v>6.113</v>
      </c>
      <c r="J902" s="67">
        <f>J903+J904+J905+J906+J907+J908</f>
        <v>5.271</v>
      </c>
      <c r="K902" s="67">
        <f>K903+K904+K905+K906+K907+K908</f>
        <v>46.076</v>
      </c>
      <c r="L902" s="67">
        <f>L903+L904+L905+L906+L907+L908</f>
        <v>290.83000000000004</v>
      </c>
      <c r="M902" s="618"/>
      <c r="N902" s="206"/>
    </row>
    <row r="903" spans="1:14" ht="12.75">
      <c r="A903" s="933" t="s">
        <v>37</v>
      </c>
      <c r="B903" s="934"/>
      <c r="C903" s="935"/>
      <c r="D903" s="453"/>
      <c r="E903" s="936">
        <v>0.003</v>
      </c>
      <c r="F903" s="937">
        <v>3</v>
      </c>
      <c r="G903" s="938">
        <v>129</v>
      </c>
      <c r="H903" s="939">
        <f>G903*E903</f>
        <v>0.387</v>
      </c>
      <c r="I903" s="521"/>
      <c r="J903" s="455">
        <f>(F903*99.9)/100</f>
        <v>2.9970000000000003</v>
      </c>
      <c r="K903" s="80"/>
      <c r="L903" s="522">
        <f>(F903*899)/100</f>
        <v>26.97</v>
      </c>
      <c r="M903" s="618"/>
      <c r="N903" s="221"/>
    </row>
    <row r="904" spans="1:14" ht="12.75">
      <c r="A904" s="68" t="s">
        <v>16</v>
      </c>
      <c r="B904" s="70"/>
      <c r="C904" s="70"/>
      <c r="D904" s="71"/>
      <c r="E904" s="448">
        <v>0.005</v>
      </c>
      <c r="F904" s="449">
        <v>5</v>
      </c>
      <c r="G904" s="447">
        <v>300</v>
      </c>
      <c r="H904" s="201">
        <f>G904*E904</f>
        <v>1.5</v>
      </c>
      <c r="I904" s="518">
        <v>0</v>
      </c>
      <c r="J904" s="518">
        <f>(F904*8.2)/100</f>
        <v>0.41</v>
      </c>
      <c r="K904" s="518">
        <f>(F904*0.8)/100</f>
        <v>0.04</v>
      </c>
      <c r="L904" s="519">
        <f>(F904*748)/100</f>
        <v>37.4</v>
      </c>
      <c r="M904" s="618"/>
      <c r="N904" s="221"/>
    </row>
    <row r="905" spans="1:14" ht="12.75">
      <c r="A905" s="589" t="s">
        <v>18</v>
      </c>
      <c r="B905" s="590"/>
      <c r="C905" s="590"/>
      <c r="D905" s="720"/>
      <c r="E905" s="51">
        <v>0.02</v>
      </c>
      <c r="F905" s="52">
        <v>20</v>
      </c>
      <c r="G905" s="53">
        <v>72</v>
      </c>
      <c r="H905" s="145">
        <f>G905*E905</f>
        <v>1.44</v>
      </c>
      <c r="I905" s="916">
        <f>(2.9*F905)/100</f>
        <v>0.58</v>
      </c>
      <c r="J905" s="916">
        <f>(F905*2.5)/100</f>
        <v>0.5</v>
      </c>
      <c r="K905" s="916">
        <f>(4.8*F905)/100</f>
        <v>0.96</v>
      </c>
      <c r="L905" s="917">
        <f>(F905*60)/100</f>
        <v>12</v>
      </c>
      <c r="M905" s="618"/>
      <c r="N905" s="221"/>
    </row>
    <row r="906" spans="1:14" ht="12.75">
      <c r="A906" s="589" t="s">
        <v>76</v>
      </c>
      <c r="B906" s="591"/>
      <c r="C906" s="940"/>
      <c r="D906" s="50"/>
      <c r="E906" s="51">
        <v>0.043000000000000003</v>
      </c>
      <c r="F906" s="52">
        <v>43</v>
      </c>
      <c r="G906" s="53">
        <v>49</v>
      </c>
      <c r="H906" s="145">
        <f>G906*E906</f>
        <v>2.107</v>
      </c>
      <c r="I906" s="455">
        <f>(F906*10.8)/100</f>
        <v>4.644</v>
      </c>
      <c r="J906" s="455">
        <f>(F906*1.3)/100</f>
        <v>0.5589999999999999</v>
      </c>
      <c r="K906" s="455">
        <f>(F906*69.9)/100</f>
        <v>30.057000000000002</v>
      </c>
      <c r="L906" s="456">
        <f>(F906*334)/100</f>
        <v>143.62</v>
      </c>
      <c r="M906" s="618"/>
      <c r="N906" s="221"/>
    </row>
    <row r="907" spans="1:14" ht="12.75">
      <c r="A907" s="589" t="s">
        <v>46</v>
      </c>
      <c r="B907" s="591"/>
      <c r="C907" s="940"/>
      <c r="D907" s="50"/>
      <c r="E907" s="717">
        <v>0.008</v>
      </c>
      <c r="F907" s="941">
        <v>7</v>
      </c>
      <c r="G907" s="342">
        <v>230</v>
      </c>
      <c r="H907" s="112">
        <f>E907*G907</f>
        <v>1.84</v>
      </c>
      <c r="I907" s="258">
        <f>(12.7*F907)/100</f>
        <v>0.8889999999999999</v>
      </c>
      <c r="J907" s="258">
        <f>(F907*11.5)/100</f>
        <v>0.805</v>
      </c>
      <c r="K907" s="258">
        <f>(F907*0.7)/100</f>
        <v>0.049</v>
      </c>
      <c r="L907" s="327">
        <f>(157*F907)/100</f>
        <v>10.99</v>
      </c>
      <c r="M907" s="1263"/>
      <c r="N907" s="221"/>
    </row>
    <row r="908" spans="1:14" ht="12.75">
      <c r="A908" s="68" t="s">
        <v>17</v>
      </c>
      <c r="B908" s="70"/>
      <c r="C908" s="70"/>
      <c r="D908" s="71"/>
      <c r="E908" s="448">
        <v>0.015</v>
      </c>
      <c r="F908" s="449">
        <v>15</v>
      </c>
      <c r="G908" s="447">
        <v>90</v>
      </c>
      <c r="H908" s="290">
        <f>G908*E908</f>
        <v>1.3499999999999999</v>
      </c>
      <c r="I908" s="80"/>
      <c r="J908" s="80"/>
      <c r="K908" s="80">
        <f>(F908*99.8)/100</f>
        <v>14.97</v>
      </c>
      <c r="L908" s="81">
        <f>(F908*399)/100</f>
        <v>59.85</v>
      </c>
      <c r="M908" s="1263"/>
      <c r="N908" s="221"/>
    </row>
    <row r="909" spans="1:14" ht="13.5" thickBot="1">
      <c r="A909" s="354" t="s">
        <v>134</v>
      </c>
      <c r="B909" s="1155"/>
      <c r="C909" s="1155"/>
      <c r="D909" s="1288"/>
      <c r="E909" s="1289">
        <v>0.0005</v>
      </c>
      <c r="F909" s="83">
        <v>0.5</v>
      </c>
      <c r="G909" s="84">
        <v>1050</v>
      </c>
      <c r="H909" s="1290">
        <f>G909*E909</f>
        <v>0.525</v>
      </c>
      <c r="I909" s="358"/>
      <c r="J909" s="358"/>
      <c r="K909" s="358"/>
      <c r="L909" s="359"/>
      <c r="M909" s="1263"/>
      <c r="N909" s="221"/>
    </row>
    <row r="910" spans="1:14" ht="13.5" thickBot="1">
      <c r="A910" s="1780" t="s">
        <v>49</v>
      </c>
      <c r="B910" s="1780"/>
      <c r="C910" s="1780"/>
      <c r="D910" s="637">
        <v>200</v>
      </c>
      <c r="E910" s="282"/>
      <c r="F910" s="282"/>
      <c r="G910" s="283"/>
      <c r="H910" s="284">
        <f>H911+H912</f>
        <v>1.3488000000000002</v>
      </c>
      <c r="I910" s="285">
        <f>SUM(I911:I912)</f>
        <v>0</v>
      </c>
      <c r="J910" s="285">
        <f>SUM(J911:J912)</f>
        <v>0</v>
      </c>
      <c r="K910" s="285">
        <f>SUM(K911:K912)</f>
        <v>11.975999999999999</v>
      </c>
      <c r="L910" s="285">
        <f>SUM(L911:L912)</f>
        <v>47.88</v>
      </c>
      <c r="M910" s="1263"/>
      <c r="N910" s="221"/>
    </row>
    <row r="911" spans="1:14" ht="12.75">
      <c r="A911" s="56" t="s">
        <v>20</v>
      </c>
      <c r="B911" s="221"/>
      <c r="C911" s="57"/>
      <c r="D911" s="638"/>
      <c r="E911" s="639">
        <v>0.0006000000000000001</v>
      </c>
      <c r="F911" s="60">
        <v>0.6000000000000001</v>
      </c>
      <c r="G911" s="61">
        <v>448</v>
      </c>
      <c r="H911" s="192">
        <f>E911*G911</f>
        <v>0.26880000000000004</v>
      </c>
      <c r="I911" s="191"/>
      <c r="J911" s="191"/>
      <c r="K911" s="191"/>
      <c r="L911" s="1243"/>
      <c r="M911" s="1263"/>
      <c r="N911" s="221"/>
    </row>
    <row r="912" spans="1:14" ht="13.5" thickBot="1">
      <c r="A912" s="429" t="s">
        <v>17</v>
      </c>
      <c r="B912" s="430"/>
      <c r="C912" s="431"/>
      <c r="D912" s="432"/>
      <c r="E912" s="562">
        <v>0.012</v>
      </c>
      <c r="F912" s="434">
        <v>12</v>
      </c>
      <c r="G912" s="32">
        <v>90</v>
      </c>
      <c r="H912" s="535">
        <f>E912*G912</f>
        <v>1.08</v>
      </c>
      <c r="I912" s="80"/>
      <c r="J912" s="80"/>
      <c r="K912" s="80">
        <f>(F912*99.8)/100</f>
        <v>11.975999999999999</v>
      </c>
      <c r="L912" s="81">
        <f>(F912*399)/100</f>
        <v>47.88</v>
      </c>
      <c r="M912" s="1263"/>
      <c r="N912" s="221"/>
    </row>
    <row r="913" spans="1:14" ht="13.5" thickBot="1">
      <c r="A913" s="1695" t="s">
        <v>133</v>
      </c>
      <c r="B913" s="1696"/>
      <c r="C913" s="1697"/>
      <c r="D913" s="1698">
        <v>100</v>
      </c>
      <c r="E913" s="1699">
        <v>0.11</v>
      </c>
      <c r="F913" s="1700">
        <v>100</v>
      </c>
      <c r="G913" s="1701">
        <v>110</v>
      </c>
      <c r="H913" s="1702">
        <f>G913*E913</f>
        <v>12.1</v>
      </c>
      <c r="I913" s="1703">
        <v>0.36</v>
      </c>
      <c r="J913" s="1704">
        <v>0.036000000000000004</v>
      </c>
      <c r="K913" s="1705">
        <v>8.82</v>
      </c>
      <c r="L913" s="1706">
        <v>42.3</v>
      </c>
      <c r="M913" s="1291"/>
      <c r="N913" s="57"/>
    </row>
    <row r="914" spans="1:14" ht="15.75">
      <c r="A914" s="1292"/>
      <c r="B914" s="1293"/>
      <c r="C914" s="1074" t="s">
        <v>50</v>
      </c>
      <c r="D914" s="1074"/>
      <c r="E914" s="1294"/>
      <c r="F914" s="1294"/>
      <c r="G914" s="1295"/>
      <c r="H914" s="1296">
        <f>H913+H910+H902</f>
        <v>22.5978</v>
      </c>
      <c r="I914" s="1294"/>
      <c r="J914" s="1297"/>
      <c r="K914" s="1294"/>
      <c r="L914" s="1298"/>
      <c r="M914" s="1291"/>
      <c r="N914" s="57"/>
    </row>
    <row r="915" spans="1:14" ht="13.5" thickBot="1">
      <c r="A915" s="1075"/>
      <c r="B915" s="1076"/>
      <c r="C915" s="1076" t="s">
        <v>24</v>
      </c>
      <c r="D915" s="1076"/>
      <c r="E915" s="1076"/>
      <c r="F915" s="1076"/>
      <c r="G915" s="1078"/>
      <c r="H915" s="1078"/>
      <c r="I915" s="1299">
        <f>I913+I910+I902</f>
        <v>6.473000000000001</v>
      </c>
      <c r="J915" s="1299">
        <f>J913+J910+J902</f>
        <v>5.3069999999999995</v>
      </c>
      <c r="K915" s="1299">
        <f>K913+K910+K902</f>
        <v>66.872</v>
      </c>
      <c r="L915" s="1299">
        <f>L913+L910+L902</f>
        <v>381.01000000000005</v>
      </c>
      <c r="M915" s="798"/>
      <c r="N915" s="206"/>
    </row>
    <row r="916" spans="1:14" ht="13.5" thickBot="1">
      <c r="A916" s="1817"/>
      <c r="B916" s="1817"/>
      <c r="C916" s="1817"/>
      <c r="D916" s="1301"/>
      <c r="E916" s="651"/>
      <c r="F916" s="652"/>
      <c r="G916" s="653"/>
      <c r="H916" s="348"/>
      <c r="I916" s="349"/>
      <c r="J916" s="349"/>
      <c r="K916" s="349"/>
      <c r="L916" s="1302">
        <f>L915/1800</f>
        <v>0.21167222222222226</v>
      </c>
      <c r="M916" s="798"/>
      <c r="N916" s="206"/>
    </row>
    <row r="917" spans="1:13" ht="15">
      <c r="A917" s="779" t="s">
        <v>51</v>
      </c>
      <c r="B917" s="780"/>
      <c r="C917" s="780"/>
      <c r="D917" s="780"/>
      <c r="E917" s="781">
        <v>0.01</v>
      </c>
      <c r="F917" s="430" t="s">
        <v>52</v>
      </c>
      <c r="G917" s="782">
        <v>20</v>
      </c>
      <c r="H917" s="630">
        <f>E917*G917</f>
        <v>0.2</v>
      </c>
      <c r="I917" s="872"/>
      <c r="J917" s="872"/>
      <c r="K917" s="872"/>
      <c r="L917" s="873"/>
      <c r="M917" s="1261"/>
    </row>
    <row r="918" spans="1:13" ht="15.75">
      <c r="A918" s="785"/>
      <c r="B918" s="786"/>
      <c r="C918" s="787" t="s">
        <v>53</v>
      </c>
      <c r="D918" s="787"/>
      <c r="E918" s="786"/>
      <c r="F918" s="787"/>
      <c r="G918" s="789"/>
      <c r="H918" s="789">
        <f>H917+H914+H899+H868+H860</f>
        <v>144.6175</v>
      </c>
      <c r="I918" s="876"/>
      <c r="J918" s="876"/>
      <c r="K918" s="876"/>
      <c r="L918" s="954"/>
      <c r="M918" s="618"/>
    </row>
    <row r="919" spans="1:13" ht="12.75">
      <c r="A919" s="779"/>
      <c r="B919" s="430"/>
      <c r="C919" s="780"/>
      <c r="D919" s="780"/>
      <c r="E919" s="793"/>
      <c r="F919" s="430" t="s">
        <v>24</v>
      </c>
      <c r="G919" s="782"/>
      <c r="H919" s="782"/>
      <c r="I919" s="872"/>
      <c r="J919" s="872"/>
      <c r="K919" s="872"/>
      <c r="L919" s="878"/>
      <c r="M919" s="618"/>
    </row>
    <row r="920" spans="1:13" ht="12.75">
      <c r="A920" s="1303" t="s">
        <v>54</v>
      </c>
      <c r="B920" s="1304"/>
      <c r="C920" s="1305"/>
      <c r="D920" s="1305"/>
      <c r="E920" s="1305"/>
      <c r="F920" s="1305"/>
      <c r="G920" s="1306"/>
      <c r="H920" s="1306"/>
      <c r="I920" s="1307">
        <f>I915+I900+I864+I861</f>
        <v>54.342</v>
      </c>
      <c r="J920" s="1307">
        <f>J915+J900+J864+J861</f>
        <v>39.156</v>
      </c>
      <c r="K920" s="1307">
        <f>K915+K900+K864+K861</f>
        <v>261.16200000000003</v>
      </c>
      <c r="L920" s="1307">
        <f>L915+L900+L864+L861</f>
        <v>1698.3</v>
      </c>
      <c r="M920" s="618"/>
    </row>
    <row r="921" spans="1:13" ht="12.75">
      <c r="A921" s="634"/>
      <c r="B921" s="956"/>
      <c r="C921" s="634"/>
      <c r="D921" s="634"/>
      <c r="E921" s="634"/>
      <c r="F921" s="634"/>
      <c r="G921" s="210"/>
      <c r="H921" s="210"/>
      <c r="I921" s="211"/>
      <c r="J921" s="211"/>
      <c r="K921" s="211"/>
      <c r="L921" s="672">
        <f>L920/1800</f>
        <v>0.9435</v>
      </c>
      <c r="M921" s="618"/>
    </row>
    <row r="922" spans="1:13" ht="12.75">
      <c r="A922" s="634"/>
      <c r="B922" s="956"/>
      <c r="C922" s="634"/>
      <c r="D922" s="634"/>
      <c r="E922" s="634"/>
      <c r="F922" s="1308" t="s">
        <v>186</v>
      </c>
      <c r="G922" s="210"/>
      <c r="H922" s="210">
        <f>H918+H832+H743+H652+H548</f>
        <v>695.9401</v>
      </c>
      <c r="I922" s="210">
        <f>I920+I831+I738+I653+I551</f>
        <v>204.02599999999998</v>
      </c>
      <c r="J922" s="210">
        <f>J920+J831+J738+J653+J551</f>
        <v>182.213</v>
      </c>
      <c r="K922" s="211">
        <f>K920+K831+K738+K653+K551</f>
        <v>720.311</v>
      </c>
      <c r="L922" s="211">
        <f>L920++L831+L738+L653+L551</f>
        <v>5537.77</v>
      </c>
      <c r="M922" s="618"/>
    </row>
    <row r="923" spans="1:13" ht="12.75">
      <c r="A923" s="634"/>
      <c r="B923" s="956"/>
      <c r="C923" s="634"/>
      <c r="D923" s="634"/>
      <c r="E923" s="634"/>
      <c r="F923" s="634"/>
      <c r="G923" s="210"/>
      <c r="H923" s="210">
        <f>H922/5</f>
        <v>139.18802</v>
      </c>
      <c r="I923" s="210"/>
      <c r="J923" s="210"/>
      <c r="K923" s="211"/>
      <c r="L923" s="211"/>
      <c r="M923" s="618"/>
    </row>
    <row r="924" spans="1:13" ht="16.5" thickBot="1">
      <c r="A924" s="634"/>
      <c r="B924" s="956"/>
      <c r="C924" s="634"/>
      <c r="D924" s="634"/>
      <c r="E924" s="634"/>
      <c r="F924" s="798" t="s">
        <v>187</v>
      </c>
      <c r="G924" s="1309"/>
      <c r="H924" s="1309"/>
      <c r="I924" s="1310">
        <f>I922+I463</f>
        <v>464.12299999999993</v>
      </c>
      <c r="J924" s="1310">
        <f>J922+J463</f>
        <v>450.04099999999994</v>
      </c>
      <c r="K924" s="798">
        <f>K922+K463</f>
        <v>1762.64059</v>
      </c>
      <c r="L924" s="1310">
        <f>L922+L463</f>
        <v>13517.146</v>
      </c>
      <c r="M924" s="618"/>
    </row>
    <row r="925" spans="1:13" ht="15.75">
      <c r="A925" s="1311" t="s">
        <v>188</v>
      </c>
      <c r="B925" s="1312"/>
      <c r="C925" s="1312"/>
      <c r="D925" s="1312"/>
      <c r="E925" s="1312"/>
      <c r="F925" s="1312"/>
      <c r="G925" s="1312"/>
      <c r="H925" s="1313">
        <f>H918+H832+H743+H652+H548+H459+H362+H273+H181+H73</f>
        <v>1392.2496999999998</v>
      </c>
      <c r="I925" s="1309"/>
      <c r="J925" s="1309"/>
      <c r="K925" s="1309"/>
      <c r="L925" s="1309"/>
      <c r="M925" s="1309"/>
    </row>
    <row r="926" spans="1:13" ht="15.75">
      <c r="A926" s="1314"/>
      <c r="B926" s="1315"/>
      <c r="C926" s="1315"/>
      <c r="D926" s="1315"/>
      <c r="E926" s="1315"/>
      <c r="F926" s="1315"/>
      <c r="G926" s="1315"/>
      <c r="H926" s="1316"/>
      <c r="I926" s="1309"/>
      <c r="J926" s="1309"/>
      <c r="K926" s="1309"/>
      <c r="L926" s="1309"/>
      <c r="M926" s="1261"/>
    </row>
    <row r="927" spans="1:13" ht="16.5" thickBot="1">
      <c r="A927" s="1317" t="s">
        <v>189</v>
      </c>
      <c r="B927" s="1318"/>
      <c r="C927" s="1318"/>
      <c r="D927" s="1318"/>
      <c r="E927" s="1318"/>
      <c r="F927" s="1318"/>
      <c r="G927" s="1318"/>
      <c r="H927" s="1319">
        <f>H925/10</f>
        <v>139.22496999999998</v>
      </c>
      <c r="I927" s="1309"/>
      <c r="J927" s="1309"/>
      <c r="K927" s="1309"/>
      <c r="L927" s="1309"/>
      <c r="M927" s="618"/>
    </row>
    <row r="928" spans="1:13" ht="15">
      <c r="A928" s="1320"/>
      <c r="B928" s="1320"/>
      <c r="C928" s="1320"/>
      <c r="D928" s="1320"/>
      <c r="E928" s="1320"/>
      <c r="F928" s="1320"/>
      <c r="G928" s="1320"/>
      <c r="H928" s="1320"/>
      <c r="I928" s="1261"/>
      <c r="J928" s="1261"/>
      <c r="K928" s="1261"/>
      <c r="L928" s="1261"/>
      <c r="M928" s="618"/>
    </row>
    <row r="929" spans="1:13" ht="15">
      <c r="A929" s="1320"/>
      <c r="B929" s="1320"/>
      <c r="C929" s="1320"/>
      <c r="D929" s="1320"/>
      <c r="E929" s="1320"/>
      <c r="F929" s="1320"/>
      <c r="G929" s="1320"/>
      <c r="H929" s="1320"/>
      <c r="I929" s="1261"/>
      <c r="J929" s="1261"/>
      <c r="K929" s="1261"/>
      <c r="L929" s="1261"/>
      <c r="M929" s="618"/>
    </row>
    <row r="930" spans="1:13" ht="15">
      <c r="A930" s="1320"/>
      <c r="B930" s="1320"/>
      <c r="C930" s="1320"/>
      <c r="D930" s="1320"/>
      <c r="E930" s="1320"/>
      <c r="F930" s="1320"/>
      <c r="G930" s="1320"/>
      <c r="H930" s="1320"/>
      <c r="I930" s="1261"/>
      <c r="J930" s="1261"/>
      <c r="K930" s="1261"/>
      <c r="L930" s="1261"/>
      <c r="M930" s="618"/>
    </row>
    <row r="931" spans="1:13" ht="15">
      <c r="A931" s="1320"/>
      <c r="B931" s="1320"/>
      <c r="C931" s="1320"/>
      <c r="D931" s="1320"/>
      <c r="E931" s="1320"/>
      <c r="F931" s="1320"/>
      <c r="G931" s="1320"/>
      <c r="H931" s="1320"/>
      <c r="I931" s="1261"/>
      <c r="J931" s="1261"/>
      <c r="K931" s="1261"/>
      <c r="L931" s="1261"/>
      <c r="M931" s="618"/>
    </row>
    <row r="932" spans="1:13" ht="15">
      <c r="A932" s="1320"/>
      <c r="B932" s="1320"/>
      <c r="C932" s="1320"/>
      <c r="D932" s="1320"/>
      <c r="E932" s="1320"/>
      <c r="F932" s="1320"/>
      <c r="G932" s="1320"/>
      <c r="H932" s="1320"/>
      <c r="I932" s="1261"/>
      <c r="J932" s="1261"/>
      <c r="K932" s="1261"/>
      <c r="L932" s="1261"/>
      <c r="M932" s="618"/>
    </row>
    <row r="933" spans="1:13" ht="15">
      <c r="A933" s="1320"/>
      <c r="B933" s="1320"/>
      <c r="C933" s="1320"/>
      <c r="D933" s="1320"/>
      <c r="E933" s="1320"/>
      <c r="F933" s="1320"/>
      <c r="G933" s="1320"/>
      <c r="H933" s="1320"/>
      <c r="I933" s="1261"/>
      <c r="J933" s="1261"/>
      <c r="K933" s="1261"/>
      <c r="L933" s="1261"/>
      <c r="M933" s="618"/>
    </row>
    <row r="934" spans="1:13" ht="15">
      <c r="A934" s="1320"/>
      <c r="B934" s="1320"/>
      <c r="C934" s="1320"/>
      <c r="D934" s="1320"/>
      <c r="E934" s="1320"/>
      <c r="F934" s="1320"/>
      <c r="G934" s="1320"/>
      <c r="H934" s="1320"/>
      <c r="I934" s="1261"/>
      <c r="J934" s="1261"/>
      <c r="K934" s="1261"/>
      <c r="L934" s="1261"/>
      <c r="M934" s="618"/>
    </row>
    <row r="935" spans="1:13" ht="18">
      <c r="A935" s="57"/>
      <c r="B935" s="57"/>
      <c r="C935" s="1321"/>
      <c r="D935" s="1322" t="s">
        <v>190</v>
      </c>
      <c r="E935" s="1323"/>
      <c r="F935" s="1324"/>
      <c r="G935" s="1324"/>
      <c r="H935" s="1324"/>
      <c r="I935" s="1324"/>
      <c r="J935" s="1325"/>
      <c r="K935" s="57"/>
      <c r="L935" s="57"/>
      <c r="M935" s="618"/>
    </row>
    <row r="936" spans="1:13" ht="13.5" thickBo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618"/>
    </row>
    <row r="937" spans="1:13" ht="13.5" thickBot="1">
      <c r="A937" s="57"/>
      <c r="B937" s="1818" t="s">
        <v>191</v>
      </c>
      <c r="C937" s="1819" t="s">
        <v>192</v>
      </c>
      <c r="D937" s="1819"/>
      <c r="E937" s="1818" t="s">
        <v>193</v>
      </c>
      <c r="F937" s="1818"/>
      <c r="G937" s="1818" t="s">
        <v>194</v>
      </c>
      <c r="H937" s="1818"/>
      <c r="I937" s="1816" t="s">
        <v>195</v>
      </c>
      <c r="J937" s="1816"/>
      <c r="K937" s="57"/>
      <c r="L937" s="57"/>
      <c r="M937" s="618"/>
    </row>
    <row r="938" spans="1:13" ht="13.5" thickBot="1">
      <c r="A938" s="57"/>
      <c r="B938" s="1818"/>
      <c r="C938" s="1819"/>
      <c r="D938" s="1819"/>
      <c r="E938" s="1818"/>
      <c r="F938" s="1818"/>
      <c r="G938" s="1818"/>
      <c r="H938" s="1818"/>
      <c r="I938" s="1816"/>
      <c r="J938" s="1816"/>
      <c r="K938" s="57"/>
      <c r="L938" s="57"/>
      <c r="M938" s="618"/>
    </row>
    <row r="939" spans="1:13" ht="15">
      <c r="A939" s="57"/>
      <c r="B939" s="1326">
        <v>1</v>
      </c>
      <c r="C939" s="1327">
        <f>I75</f>
        <v>49.276</v>
      </c>
      <c r="D939" s="1328"/>
      <c r="E939" s="1329">
        <f>J75</f>
        <v>48.385999999999996</v>
      </c>
      <c r="F939" s="1328"/>
      <c r="G939" s="1330">
        <f>K75</f>
        <v>176.35159</v>
      </c>
      <c r="H939" s="1330"/>
      <c r="I939" s="1331">
        <f>L75</f>
        <v>1353.0259999999998</v>
      </c>
      <c r="J939" s="1332"/>
      <c r="K939" s="57"/>
      <c r="L939" s="57"/>
      <c r="M939" s="618"/>
    </row>
    <row r="940" spans="1:13" ht="15">
      <c r="A940" s="57"/>
      <c r="B940" s="1326">
        <v>2</v>
      </c>
      <c r="C940" s="1333">
        <f>I183</f>
        <v>56.830999999999996</v>
      </c>
      <c r="D940" s="1328"/>
      <c r="E940" s="1328">
        <f>J183</f>
        <v>67.193</v>
      </c>
      <c r="F940" s="1328"/>
      <c r="G940" s="1330">
        <f>K183</f>
        <v>208.46699999999998</v>
      </c>
      <c r="H940" s="1330"/>
      <c r="I940" s="1334">
        <f>L183</f>
        <v>1785.43</v>
      </c>
      <c r="J940" s="1332"/>
      <c r="K940" s="57"/>
      <c r="L940" s="57"/>
      <c r="M940" s="618"/>
    </row>
    <row r="941" spans="1:13" ht="15">
      <c r="A941" s="57"/>
      <c r="B941" s="1326">
        <v>3</v>
      </c>
      <c r="C941" s="1327">
        <f>I275</f>
        <v>57.045</v>
      </c>
      <c r="D941" s="1328"/>
      <c r="E941" s="1328">
        <f>J275</f>
        <v>53.41499999999999</v>
      </c>
      <c r="F941" s="1328"/>
      <c r="G941" s="1335">
        <f>K275</f>
        <v>221.65300000000002</v>
      </c>
      <c r="H941" s="1330"/>
      <c r="I941" s="1334">
        <f>L275</f>
        <v>1635.45</v>
      </c>
      <c r="J941" s="1332"/>
      <c r="K941" s="57"/>
      <c r="L941" s="57"/>
      <c r="M941" s="618"/>
    </row>
    <row r="942" spans="1:13" ht="15">
      <c r="A942" s="57"/>
      <c r="B942" s="1326">
        <v>4</v>
      </c>
      <c r="C942" s="1333">
        <f>I364</f>
        <v>48.193</v>
      </c>
      <c r="D942" s="1328"/>
      <c r="E942" s="1328">
        <f>J364</f>
        <v>57.855999999999995</v>
      </c>
      <c r="F942" s="1328"/>
      <c r="G942" s="1330">
        <f>K364</f>
        <v>210.127</v>
      </c>
      <c r="H942" s="1330"/>
      <c r="I942" s="1334">
        <f>L364</f>
        <v>1615.5700000000002</v>
      </c>
      <c r="J942" s="1332"/>
      <c r="K942" s="57"/>
      <c r="L942" s="57"/>
      <c r="M942" s="618"/>
    </row>
    <row r="943" spans="1:13" ht="15">
      <c r="A943" s="57"/>
      <c r="B943" s="1326">
        <v>5</v>
      </c>
      <c r="C943" s="1333">
        <f>I461</f>
        <v>48.751999999999995</v>
      </c>
      <c r="D943" s="1328"/>
      <c r="E943" s="1328">
        <f>J461</f>
        <v>40.978</v>
      </c>
      <c r="F943" s="1328"/>
      <c r="G943" s="1330">
        <f>K461</f>
        <v>225.731</v>
      </c>
      <c r="H943" s="1330"/>
      <c r="I943" s="1334">
        <f>L461</f>
        <v>1589.9</v>
      </c>
      <c r="J943" s="1332"/>
      <c r="K943" s="57"/>
      <c r="L943" s="57"/>
      <c r="M943" s="618"/>
    </row>
    <row r="944" spans="1:13" ht="12.75" customHeight="1">
      <c r="A944" s="57"/>
      <c r="B944" s="1326">
        <v>6</v>
      </c>
      <c r="C944" s="1327">
        <f>I551</f>
        <v>66.82999999999998</v>
      </c>
      <c r="D944" s="1328"/>
      <c r="E944" s="1328">
        <f>J551</f>
        <v>63.338</v>
      </c>
      <c r="F944" s="1328"/>
      <c r="G944" s="1330">
        <f>K551</f>
        <v>193.881</v>
      </c>
      <c r="H944" s="1330"/>
      <c r="I944" s="1334">
        <f>L551</f>
        <v>1675.8300000000004</v>
      </c>
      <c r="J944" s="1332"/>
      <c r="K944" s="57"/>
      <c r="L944" s="57"/>
      <c r="M944" s="618"/>
    </row>
    <row r="945" spans="1:13" ht="15">
      <c r="A945" s="57"/>
      <c r="B945" s="1326">
        <v>7</v>
      </c>
      <c r="C945" s="1333">
        <f>I653</f>
        <v>62.596</v>
      </c>
      <c r="D945" s="1328"/>
      <c r="E945" s="1328">
        <f>J653</f>
        <v>62.507</v>
      </c>
      <c r="F945" s="1328"/>
      <c r="G945" s="1330">
        <f>K653</f>
        <v>224.331</v>
      </c>
      <c r="H945" s="1330"/>
      <c r="I945" s="1334">
        <f>L653</f>
        <v>1761.44</v>
      </c>
      <c r="J945" s="1332"/>
      <c r="K945" s="57"/>
      <c r="L945" s="57"/>
      <c r="M945" s="618"/>
    </row>
    <row r="946" spans="1:13" ht="15">
      <c r="A946" s="57"/>
      <c r="B946" s="1326">
        <v>8</v>
      </c>
      <c r="C946" s="1333">
        <f>I745</f>
        <v>46.879</v>
      </c>
      <c r="D946" s="1328"/>
      <c r="E946" s="1328">
        <f>J745</f>
        <v>52.925</v>
      </c>
      <c r="F946" s="1328"/>
      <c r="G946" s="1330">
        <f>K745</f>
        <v>203.69469999999998</v>
      </c>
      <c r="H946" s="1330"/>
      <c r="I946" s="1334">
        <f>L745</f>
        <v>1531.936</v>
      </c>
      <c r="J946" s="1332"/>
      <c r="K946" s="57"/>
      <c r="L946" s="57"/>
      <c r="M946" s="618"/>
    </row>
    <row r="947" spans="1:13" ht="15">
      <c r="A947" s="57"/>
      <c r="B947" s="1326">
        <v>9</v>
      </c>
      <c r="C947" s="1333">
        <f>I834</f>
        <v>43.603</v>
      </c>
      <c r="D947" s="1328"/>
      <c r="E947" s="1328">
        <f>J834</f>
        <v>54.525</v>
      </c>
      <c r="F947" s="1328"/>
      <c r="G947" s="1330">
        <f>K834</f>
        <v>193.83599999999998</v>
      </c>
      <c r="H947" s="1330"/>
      <c r="I947" s="1334">
        <f>L834</f>
        <v>1491.31</v>
      </c>
      <c r="J947" s="1332"/>
      <c r="K947" s="57"/>
      <c r="L947" s="57"/>
      <c r="M947" s="618"/>
    </row>
    <row r="948" spans="1:13" ht="15">
      <c r="A948" s="57"/>
      <c r="B948" s="1326">
        <v>10</v>
      </c>
      <c r="C948" s="1333">
        <f>I920</f>
        <v>54.342</v>
      </c>
      <c r="D948" s="1328"/>
      <c r="E948" s="1328">
        <f>J920</f>
        <v>39.156</v>
      </c>
      <c r="F948" s="1328"/>
      <c r="G948" s="1330">
        <f>K920</f>
        <v>261.16200000000003</v>
      </c>
      <c r="H948" s="1330"/>
      <c r="I948" s="1334">
        <f>L920</f>
        <v>1698.3</v>
      </c>
      <c r="J948" s="1332"/>
      <c r="K948" s="57"/>
      <c r="L948" s="57"/>
      <c r="M948" s="618"/>
    </row>
    <row r="949" spans="1:13" ht="15">
      <c r="A949" s="57"/>
      <c r="B949" s="1326"/>
      <c r="C949" s="1333"/>
      <c r="D949" s="1328"/>
      <c r="E949" s="1328"/>
      <c r="F949" s="1328"/>
      <c r="G949" s="1330"/>
      <c r="H949" s="1330"/>
      <c r="I949" s="1336"/>
      <c r="J949" s="1332"/>
      <c r="K949" s="57"/>
      <c r="L949" s="57"/>
      <c r="M949" s="618"/>
    </row>
    <row r="950" spans="1:14" ht="18">
      <c r="A950" s="57"/>
      <c r="B950" s="1326" t="s">
        <v>196</v>
      </c>
      <c r="C950" s="1337">
        <f>SUM(C939:C948)</f>
        <v>534.347</v>
      </c>
      <c r="D950" s="1338"/>
      <c r="E950" s="1338">
        <f>SUM(E939:E948)</f>
        <v>540.279</v>
      </c>
      <c r="F950" s="1338"/>
      <c r="G950" s="1330">
        <f>SUM(G939:G948)</f>
        <v>2119.2342900000003</v>
      </c>
      <c r="H950" s="1339"/>
      <c r="I950" s="1340">
        <f>SUM(I939:I948)</f>
        <v>16138.192</v>
      </c>
      <c r="J950" s="1341"/>
      <c r="K950" s="57"/>
      <c r="L950" s="57"/>
      <c r="M950" s="618"/>
      <c r="N950" t="s">
        <v>197</v>
      </c>
    </row>
    <row r="951" spans="1:13" ht="18">
      <c r="A951" s="57"/>
      <c r="B951" s="1342" t="s">
        <v>198</v>
      </c>
      <c r="C951" s="1338"/>
      <c r="D951" s="1338"/>
      <c r="E951" s="1338"/>
      <c r="F951" s="1343"/>
      <c r="G951" s="1338"/>
      <c r="H951" s="1339"/>
      <c r="I951" s="1338"/>
      <c r="J951" s="1341"/>
      <c r="K951" s="57"/>
      <c r="L951" s="57"/>
      <c r="M951" s="618"/>
    </row>
    <row r="952" spans="1:13" ht="16.5" thickBot="1">
      <c r="A952" s="57"/>
      <c r="B952" s="1344" t="s">
        <v>199</v>
      </c>
      <c r="C952" s="1345"/>
      <c r="D952" s="442"/>
      <c r="E952" s="1346"/>
      <c r="F952" s="442"/>
      <c r="G952" s="844"/>
      <c r="H952" s="844"/>
      <c r="I952" s="1347"/>
      <c r="J952" s="1348"/>
      <c r="K952" s="57"/>
      <c r="L952" s="57"/>
      <c r="M952" s="57"/>
    </row>
    <row r="953" spans="1:13" ht="15">
      <c r="A953" s="57"/>
      <c r="B953" s="1349"/>
      <c r="C953" s="57"/>
      <c r="D953" s="57"/>
      <c r="E953" s="57"/>
      <c r="F953" s="57"/>
      <c r="G953" s="223"/>
      <c r="H953" s="223"/>
      <c r="I953" s="1325"/>
      <c r="J953" s="1350"/>
      <c r="K953" s="57"/>
      <c r="L953" s="57"/>
      <c r="M953" s="57"/>
    </row>
    <row r="954" spans="1:13" ht="15">
      <c r="A954" s="798"/>
      <c r="B954" s="798"/>
      <c r="C954" s="798"/>
      <c r="D954" s="798"/>
      <c r="E954" s="798"/>
      <c r="F954" s="798"/>
      <c r="G954" s="799"/>
      <c r="H954" s="799"/>
      <c r="I954" s="800"/>
      <c r="J954" s="621"/>
      <c r="K954" s="621"/>
      <c r="L954" s="621"/>
      <c r="M954" s="618"/>
    </row>
    <row r="955" spans="1:13" ht="15.75">
      <c r="A955" s="618"/>
      <c r="B955" s="618"/>
      <c r="C955" s="618"/>
      <c r="D955" s="1309" t="s">
        <v>200</v>
      </c>
      <c r="E955" s="618"/>
      <c r="F955" s="618"/>
      <c r="G955" s="620"/>
      <c r="H955" s="620"/>
      <c r="I955" s="621"/>
      <c r="J955" s="621"/>
      <c r="K955" s="621"/>
      <c r="L955" s="621"/>
      <c r="M955" s="618"/>
    </row>
    <row r="956" ht="13.5" thickBot="1"/>
    <row r="957" spans="1:14" ht="26.25" thickBot="1">
      <c r="A957" s="1351" t="s">
        <v>201</v>
      </c>
      <c r="B957" s="1352">
        <v>1</v>
      </c>
      <c r="C957" s="1353">
        <v>2</v>
      </c>
      <c r="D957" s="1353">
        <v>3</v>
      </c>
      <c r="E957" s="1354">
        <v>4</v>
      </c>
      <c r="F957" s="1353">
        <v>5</v>
      </c>
      <c r="G957" s="1353">
        <v>6</v>
      </c>
      <c r="H957" s="1353">
        <v>7</v>
      </c>
      <c r="I957" s="1353">
        <v>8</v>
      </c>
      <c r="J957" s="1353">
        <v>9</v>
      </c>
      <c r="K957" s="1353">
        <v>10</v>
      </c>
      <c r="L957" s="1355" t="s">
        <v>202</v>
      </c>
      <c r="M957" s="1355" t="s">
        <v>203</v>
      </c>
      <c r="N957" s="1356" t="s">
        <v>204</v>
      </c>
    </row>
    <row r="958" spans="1:14" ht="12.75">
      <c r="A958" s="1070" t="s">
        <v>48</v>
      </c>
      <c r="B958" s="77">
        <f>(F49+F62)/1000</f>
        <v>0.06</v>
      </c>
      <c r="C958" s="77">
        <f>(F113+F154)/1000</f>
        <v>0.06</v>
      </c>
      <c r="D958" s="77">
        <f>(F230+F244+F264)/1000</f>
        <v>0.06</v>
      </c>
      <c r="E958" s="77">
        <f>(F300+F336)/1000</f>
        <v>0.06</v>
      </c>
      <c r="F958" s="77">
        <f>(F420+F434)/1000</f>
        <v>0.04</v>
      </c>
      <c r="G958" s="77">
        <f>(F525+F538)/1000</f>
        <v>0.06</v>
      </c>
      <c r="H958" s="77">
        <f>(F606+F623)/1000</f>
        <v>0.04</v>
      </c>
      <c r="I958" s="77">
        <f>(F672+F699+F716+F724+F734)/1000</f>
        <v>0.1</v>
      </c>
      <c r="J958" s="77">
        <f>(F806/1000)</f>
        <v>0.03</v>
      </c>
      <c r="K958" s="77">
        <f>(F858+F875+F897)/1000</f>
        <v>0.045</v>
      </c>
      <c r="L958" s="1357">
        <f aca="true" t="shared" si="5" ref="L958:L986">SUM(B958:K958)</f>
        <v>0.555</v>
      </c>
      <c r="M958" s="1357">
        <f aca="true" t="shared" si="6" ref="M958:M986">L958/10</f>
        <v>0.05550000000000001</v>
      </c>
      <c r="N958" s="1358">
        <v>0.1</v>
      </c>
    </row>
    <row r="959" spans="1:14" ht="12.75">
      <c r="A959" s="1070" t="s">
        <v>41</v>
      </c>
      <c r="B959" s="77">
        <f>(F48/1000)</f>
        <v>0.05</v>
      </c>
      <c r="C959" s="77">
        <f>F153/1000</f>
        <v>0.05</v>
      </c>
      <c r="D959" s="77">
        <f>F243/1000</f>
        <v>0.05</v>
      </c>
      <c r="E959" s="77">
        <f>F335/1000</f>
        <v>0.05</v>
      </c>
      <c r="F959" s="77">
        <f>F433/1000</f>
        <v>0.05</v>
      </c>
      <c r="G959" s="77">
        <f>F524/1000</f>
        <v>0.05</v>
      </c>
      <c r="H959" s="77">
        <f>F622/1000</f>
        <v>0.05</v>
      </c>
      <c r="I959" s="77">
        <f>F715/1000</f>
        <v>0.05</v>
      </c>
      <c r="J959" s="77">
        <f>F805/1000</f>
        <v>0.05</v>
      </c>
      <c r="K959" s="77">
        <f>F896/1000</f>
        <v>0.05</v>
      </c>
      <c r="L959" s="1357">
        <f t="shared" si="5"/>
        <v>0.49999999999999994</v>
      </c>
      <c r="M959" s="1357">
        <f t="shared" si="6"/>
        <v>0.049999999999999996</v>
      </c>
      <c r="N959" s="1357">
        <v>0.05</v>
      </c>
    </row>
    <row r="960" spans="1:14" ht="12.75">
      <c r="A960" s="1070" t="s">
        <v>205</v>
      </c>
      <c r="B960" s="77"/>
      <c r="C960" s="77">
        <f>(F146+F138)/1000</f>
        <v>0.008</v>
      </c>
      <c r="D960" s="77">
        <f>(F231+F258)/1000</f>
        <v>0.006</v>
      </c>
      <c r="E960" s="77"/>
      <c r="F960" s="77">
        <f>(F422+F445)/1000</f>
        <v>0.043</v>
      </c>
      <c r="G960" s="1359">
        <f>(F533/1000)</f>
        <v>0.004</v>
      </c>
      <c r="H960" s="77">
        <f>(F608+F615+F641)/1000</f>
        <v>0.011</v>
      </c>
      <c r="I960" s="77">
        <f>F726/1000</f>
        <v>0.003</v>
      </c>
      <c r="J960" s="77">
        <f>(F819/1000)</f>
        <v>0.007</v>
      </c>
      <c r="K960" s="77">
        <f>(F906+F886)/1000</f>
        <v>0.048</v>
      </c>
      <c r="L960" s="1357">
        <f t="shared" si="5"/>
        <v>0.13</v>
      </c>
      <c r="M960" s="1357">
        <f t="shared" si="6"/>
        <v>0.013000000000000001</v>
      </c>
      <c r="N960" s="1357">
        <v>0.029</v>
      </c>
    </row>
    <row r="961" spans="1:14" ht="12.75">
      <c r="A961" s="1070" t="s">
        <v>206</v>
      </c>
      <c r="B961" s="77">
        <f>(F8/1000)</f>
        <v>0.02</v>
      </c>
      <c r="C961" s="77">
        <f>(F106+F148+F167)/1000</f>
        <v>0.066</v>
      </c>
      <c r="D961" s="77">
        <f>(F196/1000)</f>
        <v>0.02</v>
      </c>
      <c r="E961" s="77">
        <f>(F293+F325+F347)/1000</f>
        <v>0.071</v>
      </c>
      <c r="F961" s="77"/>
      <c r="G961" s="77">
        <f>(F504+F479)/1000</f>
        <v>0.037</v>
      </c>
      <c r="H961" s="77">
        <f>(F570+F617+F634)/1000</f>
        <v>0.066</v>
      </c>
      <c r="I961" s="77">
        <f>(F709+F691+F663)/1000</f>
        <v>0.05</v>
      </c>
      <c r="J961" s="77">
        <f>(F757+F758+F796)/1000</f>
        <v>0.065</v>
      </c>
      <c r="K961" s="77">
        <f>(F849+F874)/1000</f>
        <v>0.037</v>
      </c>
      <c r="L961" s="1357">
        <f t="shared" si="5"/>
        <v>0.432</v>
      </c>
      <c r="M961" s="1357">
        <f t="shared" si="6"/>
        <v>0.0432</v>
      </c>
      <c r="N961" s="1357">
        <v>0.043000000000000003</v>
      </c>
    </row>
    <row r="962" spans="1:14" ht="12.75">
      <c r="A962" s="1070" t="s">
        <v>102</v>
      </c>
      <c r="B962" s="77">
        <f>F33/1000</f>
        <v>0.015</v>
      </c>
      <c r="C962" s="77"/>
      <c r="D962" s="1360">
        <f>F238/1000</f>
        <v>0.045</v>
      </c>
      <c r="E962" s="77"/>
      <c r="F962" s="77">
        <f>F386/1000</f>
        <v>0.02</v>
      </c>
      <c r="G962" s="77">
        <f>F514/1000</f>
        <v>0.04</v>
      </c>
      <c r="H962" s="77"/>
      <c r="I962" s="77"/>
      <c r="J962" s="77"/>
      <c r="K962" s="77"/>
      <c r="L962" s="1357">
        <f t="shared" si="5"/>
        <v>0.12</v>
      </c>
      <c r="M962" s="1357">
        <f t="shared" si="6"/>
        <v>0.012</v>
      </c>
      <c r="N962" s="1357">
        <v>0.012</v>
      </c>
    </row>
    <row r="963" spans="1:14" ht="12.75">
      <c r="A963" s="1070" t="s">
        <v>32</v>
      </c>
      <c r="B963" s="77">
        <f>(F34/1000)</f>
        <v>0.04</v>
      </c>
      <c r="C963" s="77">
        <f>(F130/1000)</f>
        <v>0.12</v>
      </c>
      <c r="D963" s="77">
        <f>(F220+F261)/1000</f>
        <v>0.15</v>
      </c>
      <c r="E963" s="77">
        <f>(F315/1000)</f>
        <v>0.06</v>
      </c>
      <c r="F963" s="77">
        <f>(F426/1000)</f>
        <v>0.11</v>
      </c>
      <c r="G963" s="77">
        <f>(F505+F534)/1000</f>
        <v>0.2</v>
      </c>
      <c r="H963" s="77">
        <f>F597/1000</f>
        <v>0.06</v>
      </c>
      <c r="I963" s="77">
        <f>(F692+F706+F731)/1000</f>
        <v>0.218</v>
      </c>
      <c r="J963" s="77">
        <f>(F786/1000)</f>
        <v>0.06</v>
      </c>
      <c r="K963" s="77">
        <f>(F889+F876)/1000</f>
        <v>0.158</v>
      </c>
      <c r="L963" s="1357">
        <f t="shared" si="5"/>
        <v>1.176</v>
      </c>
      <c r="M963" s="1357">
        <f t="shared" si="6"/>
        <v>0.1176</v>
      </c>
      <c r="N963" s="1357">
        <v>0.14</v>
      </c>
    </row>
    <row r="964" spans="1:14" ht="12.75">
      <c r="A964" s="1070" t="s">
        <v>207</v>
      </c>
      <c r="B964" s="77">
        <f>(F35+F36+F42+F43+F44+F60)/1000</f>
        <v>0.276</v>
      </c>
      <c r="C964" s="77">
        <f>(F131+F132+F142)/1000</f>
        <v>0.04</v>
      </c>
      <c r="D964" s="77">
        <f>(F221+F222+F219+F228+F254+F255)/1000</f>
        <v>0.117</v>
      </c>
      <c r="E964" s="77">
        <f>(F316+F317+F318+F322+F323+F330)/1000</f>
        <v>0.138</v>
      </c>
      <c r="F964" s="77">
        <f>(F415+F416+F419+F429)/1000</f>
        <v>0.031</v>
      </c>
      <c r="G964" s="77">
        <f>(F506+F507+F517+F518+F537)/1000</f>
        <v>0.049</v>
      </c>
      <c r="H964" s="77">
        <f>(F598+F599+F601+F605+F611+F612)/1000</f>
        <v>0.142</v>
      </c>
      <c r="I964" s="77">
        <f>(F693+F694+F707+F708+F710)/1000</f>
        <v>0.121</v>
      </c>
      <c r="J964" s="77">
        <f>(F787+F788+F789+F794+F795+F801)/1000</f>
        <v>0.139</v>
      </c>
      <c r="K964" s="77">
        <f>(F877+F878+F884)/1000</f>
        <v>0.031</v>
      </c>
      <c r="L964" s="1357">
        <f t="shared" si="5"/>
        <v>1.0839999999999999</v>
      </c>
      <c r="M964" s="1357">
        <f t="shared" si="6"/>
        <v>0.10839999999999998</v>
      </c>
      <c r="N964" s="1357">
        <v>0.26</v>
      </c>
    </row>
    <row r="965" spans="1:14" ht="12.75">
      <c r="A965" s="1070" t="s">
        <v>208</v>
      </c>
      <c r="B965" s="1359"/>
      <c r="C965" s="77"/>
      <c r="D965" s="77"/>
      <c r="E965" s="77"/>
      <c r="F965" s="77">
        <f>(F453+F4474)/1000</f>
        <v>0.1</v>
      </c>
      <c r="G965" s="77">
        <f>F542/1000</f>
        <v>0</v>
      </c>
      <c r="H965" s="77"/>
      <c r="I965" s="77"/>
      <c r="J965" s="77"/>
      <c r="K965" s="77">
        <f>F913/1000</f>
        <v>0.1</v>
      </c>
      <c r="L965" s="1357">
        <f t="shared" si="5"/>
        <v>0.2</v>
      </c>
      <c r="M965" s="1357">
        <f t="shared" si="6"/>
        <v>0.02</v>
      </c>
      <c r="N965" s="1357">
        <v>0.1</v>
      </c>
    </row>
    <row r="966" spans="1:14" ht="12.75">
      <c r="A966" s="1070" t="s">
        <v>209</v>
      </c>
      <c r="B966" s="77">
        <f>F46/1000</f>
        <v>0.015</v>
      </c>
      <c r="C966" s="77">
        <f>F151/1000</f>
        <v>0.015</v>
      </c>
      <c r="D966" s="77">
        <f>F241/1000</f>
        <v>0.015</v>
      </c>
      <c r="E966" s="77">
        <f>F332/1000</f>
        <v>0.015</v>
      </c>
      <c r="F966" s="77">
        <f>F431/1000</f>
        <v>0.015</v>
      </c>
      <c r="G966" s="77">
        <f>F521/1000</f>
        <v>0.015</v>
      </c>
      <c r="H966" s="77">
        <f>F620/1000</f>
        <v>0.015</v>
      </c>
      <c r="I966" s="77">
        <f>F713/1000</f>
        <v>0.015</v>
      </c>
      <c r="J966" s="77">
        <f>F803/1000</f>
        <v>0.015</v>
      </c>
      <c r="K966" s="77">
        <f>F894/1000</f>
        <v>0.015</v>
      </c>
      <c r="L966" s="1357">
        <f t="shared" si="5"/>
        <v>0.15000000000000002</v>
      </c>
      <c r="M966" s="1357">
        <f t="shared" si="6"/>
        <v>0.015000000000000003</v>
      </c>
      <c r="N966" s="1357">
        <v>0.011</v>
      </c>
    </row>
    <row r="967" spans="1:14" ht="12.75">
      <c r="A967" s="1070" t="s">
        <v>210</v>
      </c>
      <c r="B967" s="77">
        <f>F16/1000</f>
        <v>0.02</v>
      </c>
      <c r="C967" s="1360"/>
      <c r="D967" s="77">
        <f>F203/1000</f>
        <v>0.03</v>
      </c>
      <c r="E967" s="77">
        <f>F352/1000</f>
        <v>0.02</v>
      </c>
      <c r="F967" s="77"/>
      <c r="G967" s="77">
        <f>F487/1000</f>
        <v>0.02</v>
      </c>
      <c r="H967" s="77">
        <f>F579/1000</f>
        <v>0.03</v>
      </c>
      <c r="I967" s="77"/>
      <c r="J967" s="77">
        <f>(F767+F822)/1000</f>
        <v>0.05</v>
      </c>
      <c r="K967" s="77"/>
      <c r="L967" s="1357">
        <f t="shared" si="5"/>
        <v>0.17</v>
      </c>
      <c r="M967" s="1357">
        <f t="shared" si="6"/>
        <v>0.017</v>
      </c>
      <c r="N967" s="1357">
        <v>0.02</v>
      </c>
    </row>
    <row r="968" spans="1:14" ht="12.75">
      <c r="A968" s="1070" t="s">
        <v>17</v>
      </c>
      <c r="B968" s="77">
        <f>(F10+F14+F47+F65)/1000</f>
        <v>0.043</v>
      </c>
      <c r="C968" s="77">
        <f>(F107+F110+F152+F166+F174)/1000</f>
        <v>0.046</v>
      </c>
      <c r="D968" s="77">
        <f>(F197+F200+F242+F267)/1000</f>
        <v>0.043</v>
      </c>
      <c r="E968" s="77">
        <f>(F294+F297+F334+F349+F355)/1000</f>
        <v>0.051</v>
      </c>
      <c r="F968" s="77">
        <f>(F388+F392+F432+F447+F452)/1000</f>
        <v>0.053</v>
      </c>
      <c r="G968" s="77">
        <f>(F481+F485+F522+F541)/1000</f>
        <v>0.043</v>
      </c>
      <c r="H968" s="77">
        <f>(F572+F576+F621+F636+F643+F646)/1000</f>
        <v>0.057</v>
      </c>
      <c r="I968" s="77">
        <f>(F665+F669+F714+F737)/1000</f>
        <v>0.043</v>
      </c>
      <c r="J968" s="77">
        <f>(F760+F765+F776+F804+F818+F826)/1000</f>
        <v>0.03</v>
      </c>
      <c r="K968" s="77">
        <f>(F851+F855+F895+F908+F912)/1000</f>
        <v>0.058</v>
      </c>
      <c r="L968" s="1357">
        <f t="shared" si="5"/>
        <v>0.4669999999999999</v>
      </c>
      <c r="M968" s="1357">
        <f t="shared" si="6"/>
        <v>0.04669999999999999</v>
      </c>
      <c r="N968" s="1357">
        <v>0.047</v>
      </c>
    </row>
    <row r="969" spans="1:14" ht="12.75">
      <c r="A969" s="1070" t="s">
        <v>37</v>
      </c>
      <c r="B969" s="77">
        <f>(F61+F41)/1000</f>
        <v>0.007</v>
      </c>
      <c r="C969" s="77">
        <f>(F162+E139)/1000</f>
        <v>0.0040019999999999995</v>
      </c>
      <c r="D969" s="77">
        <f>(F253+F229)/1000</f>
        <v>0.007</v>
      </c>
      <c r="E969" s="77">
        <f>(F344+F321)/1000</f>
        <v>0.007</v>
      </c>
      <c r="F969" s="77">
        <f>(F442+F421)/1000</f>
        <v>0.007</v>
      </c>
      <c r="G969" s="77">
        <f>(F512/1000)</f>
        <v>0.004</v>
      </c>
      <c r="H969" s="77">
        <f>(F631+F607)/1000</f>
        <v>0.007</v>
      </c>
      <c r="I969" s="77">
        <f>(F705+F725)/1000</f>
        <v>0.007</v>
      </c>
      <c r="J969" s="77">
        <f>(F814+F793)/1000</f>
        <v>0.007</v>
      </c>
      <c r="K969" s="77">
        <f>(F903+F882)/1000</f>
        <v>0.005</v>
      </c>
      <c r="L969" s="1357">
        <f t="shared" si="5"/>
        <v>0.062002</v>
      </c>
      <c r="M969" s="1357">
        <f t="shared" si="6"/>
        <v>0.0062002</v>
      </c>
      <c r="N969" s="1357">
        <v>0.011</v>
      </c>
    </row>
    <row r="970" spans="1:14" ht="12.75">
      <c r="A970" s="1070" t="s">
        <v>16</v>
      </c>
      <c r="B970" s="77">
        <f>(F9+F32+F40+F58)/1000</f>
        <v>0.016</v>
      </c>
      <c r="C970" s="77">
        <f>(F163+F149+F143+F137+F129+F105)/1000</f>
        <v>0.021</v>
      </c>
      <c r="D970" s="77">
        <f>(F195+F217+F239+F252+F257+F263)/1000</f>
        <v>0.024</v>
      </c>
      <c r="E970" s="77">
        <f>(F292+F313+F326+F345)/1000</f>
        <v>0.015</v>
      </c>
      <c r="F970" s="77">
        <f>(F387+F413+F428+F443)/1000</f>
        <v>0.017</v>
      </c>
      <c r="G970" s="77">
        <f>(F511+F535+F502+F480)/1000</f>
        <v>0.016</v>
      </c>
      <c r="H970" s="77">
        <f>(F571+F595+F613+F618+F632)/1000</f>
        <v>0.018</v>
      </c>
      <c r="I970" s="77">
        <f>(F664+F690+F704+F733)/1000</f>
        <v>0.016</v>
      </c>
      <c r="J970" s="77">
        <f>(F815+F797+F784+F759)/1000</f>
        <v>0.015</v>
      </c>
      <c r="K970" s="77">
        <f>(F850+F873+F883+F891+F904)/1000</f>
        <v>0.021</v>
      </c>
      <c r="L970" s="1357">
        <f t="shared" si="5"/>
        <v>0.17900000000000002</v>
      </c>
      <c r="M970" s="1357">
        <f t="shared" si="6"/>
        <v>0.017900000000000003</v>
      </c>
      <c r="N970" s="1357">
        <v>0.026000000000000002</v>
      </c>
    </row>
    <row r="971" spans="1:14" ht="12.75">
      <c r="A971" s="1070" t="s">
        <v>46</v>
      </c>
      <c r="B971" s="77">
        <f>(F57/1000)</f>
        <v>0.058</v>
      </c>
      <c r="C971" s="77">
        <f>(F164+F141)/1000</f>
        <v>0.015</v>
      </c>
      <c r="D971" s="77">
        <f>(F232/1000)</f>
        <v>0.007</v>
      </c>
      <c r="E971" s="77">
        <f>(F346/1000)</f>
        <v>0.011</v>
      </c>
      <c r="F971" s="77">
        <f>(F446+F424+F414)/1000</f>
        <v>0.037</v>
      </c>
      <c r="G971" s="77">
        <f>(F516/1000)</f>
        <v>0.02</v>
      </c>
      <c r="H971" s="77">
        <f>(F633+F609)/1000</f>
        <v>0.014</v>
      </c>
      <c r="I971" s="1360">
        <f>(F728+F702)/1000</f>
        <v>0.014</v>
      </c>
      <c r="J971" s="77">
        <f>(F816/1000)</f>
        <v>0.011</v>
      </c>
      <c r="K971" s="77">
        <f>(F907+F885)/1000</f>
        <v>0.012</v>
      </c>
      <c r="L971" s="1357">
        <f t="shared" si="5"/>
        <v>0.19900000000000004</v>
      </c>
      <c r="M971" s="1357">
        <f t="shared" si="6"/>
        <v>0.019900000000000004</v>
      </c>
      <c r="N971" s="1357">
        <v>0.024</v>
      </c>
    </row>
    <row r="972" spans="1:14" ht="12.75">
      <c r="A972" s="1070" t="s">
        <v>211</v>
      </c>
      <c r="B972" s="77">
        <f>(F11+F56)/1000</f>
        <v>0.21</v>
      </c>
      <c r="C972" s="77">
        <f>(F104+F111+F140+F161)/1000</f>
        <v>0.395</v>
      </c>
      <c r="D972" s="77">
        <f>(F194+E201+F233+F235+F262)/1000</f>
        <v>0.245</v>
      </c>
      <c r="E972" s="77">
        <f>(F291+F298+F343)/1000</f>
        <v>0.19</v>
      </c>
      <c r="F972" s="77">
        <f>(F389+F393+F423+F427+F444)/1000</f>
        <v>0.44</v>
      </c>
      <c r="G972" s="77">
        <f>(F482+F515+F532)/1000</f>
        <v>0.22</v>
      </c>
      <c r="H972" s="77">
        <f>(F573+F577+F610+F630+F640)/1000</f>
        <v>0.43</v>
      </c>
      <c r="I972" s="77"/>
      <c r="J972" s="77">
        <f>(F761+F764+F813)/1000</f>
        <v>0.202</v>
      </c>
      <c r="K972" s="77">
        <f>(F852+F856+F887+F890+F905)/1000</f>
        <v>0.47</v>
      </c>
      <c r="L972" s="1357">
        <f t="shared" si="5"/>
        <v>2.8019999999999996</v>
      </c>
      <c r="M972" s="1357">
        <f t="shared" si="6"/>
        <v>0.28019999999999995</v>
      </c>
      <c r="N972" s="1357">
        <v>0.45</v>
      </c>
    </row>
    <row r="973" spans="1:14" ht="12.75">
      <c r="A973" s="1070" t="s">
        <v>212</v>
      </c>
      <c r="B973" s="77"/>
      <c r="C973" s="77">
        <f>F170/1000</f>
        <v>0.03</v>
      </c>
      <c r="D973" s="77"/>
      <c r="E973" s="77"/>
      <c r="F973" s="77"/>
      <c r="G973" s="77"/>
      <c r="H973" s="77"/>
      <c r="I973" s="77"/>
      <c r="J973" s="77"/>
      <c r="K973" s="77"/>
      <c r="L973" s="1357">
        <f t="shared" si="5"/>
        <v>0.03</v>
      </c>
      <c r="M973" s="1357">
        <f t="shared" si="6"/>
        <v>0.003</v>
      </c>
      <c r="N973" s="1357"/>
    </row>
    <row r="974" spans="1:14" ht="12.75">
      <c r="A974" s="1070" t="s">
        <v>84</v>
      </c>
      <c r="B974" s="77"/>
      <c r="C974" s="77">
        <f>F165/1000</f>
        <v>0.098</v>
      </c>
      <c r="D974" s="77"/>
      <c r="E974" s="77">
        <f>F348/1000</f>
        <v>0.097</v>
      </c>
      <c r="F974" s="77"/>
      <c r="G974" s="77"/>
      <c r="H974" s="77">
        <f>F635/1000</f>
        <v>0.097</v>
      </c>
      <c r="I974" s="77"/>
      <c r="J974" s="77">
        <f>F817/1000</f>
        <v>0.097</v>
      </c>
      <c r="K974" s="77"/>
      <c r="L974" s="1357">
        <f t="shared" si="5"/>
        <v>0.389</v>
      </c>
      <c r="M974" s="1357">
        <f t="shared" si="6"/>
        <v>0.038900000000000004</v>
      </c>
      <c r="N974" s="1357">
        <v>0.04</v>
      </c>
    </row>
    <row r="975" spans="1:14" ht="12.75">
      <c r="A975" s="1070" t="s">
        <v>36</v>
      </c>
      <c r="B975" s="77">
        <f>F39/1000</f>
        <v>0.085</v>
      </c>
      <c r="C975" s="77"/>
      <c r="D975" s="77">
        <f>F227/1000</f>
        <v>0.06</v>
      </c>
      <c r="E975" s="77"/>
      <c r="F975" s="77"/>
      <c r="G975" s="77">
        <f>F519/1000</f>
        <v>0.085</v>
      </c>
      <c r="H975" s="77">
        <f>F604/1000</f>
        <v>0.06</v>
      </c>
      <c r="I975" s="77"/>
      <c r="J975" s="77">
        <f>F792/1000</f>
        <v>0.075</v>
      </c>
      <c r="K975" s="77"/>
      <c r="L975" s="1357">
        <f t="shared" si="5"/>
        <v>0.36500000000000005</v>
      </c>
      <c r="M975" s="1357">
        <f t="shared" si="6"/>
        <v>0.036500000000000005</v>
      </c>
      <c r="N975" s="1361">
        <v>0.055</v>
      </c>
    </row>
    <row r="976" spans="1:14" ht="12.75">
      <c r="A976" s="1070" t="s">
        <v>213</v>
      </c>
      <c r="B976" s="77"/>
      <c r="C976" s="77">
        <f>F136/1000</f>
        <v>0.075</v>
      </c>
      <c r="D976" s="77">
        <f>F216/1000</f>
        <v>0.024</v>
      </c>
      <c r="E976" s="77">
        <f>F320/1000</f>
        <v>0.075</v>
      </c>
      <c r="F976" s="77">
        <f>F412/1000</f>
        <v>0.024</v>
      </c>
      <c r="G976" s="77"/>
      <c r="H976" s="77">
        <f>F594/1000</f>
        <v>0.024</v>
      </c>
      <c r="I976" s="77">
        <f>F697/1000</f>
        <v>0.075</v>
      </c>
      <c r="J976" s="77"/>
      <c r="K976" s="77">
        <f>F872/1000</f>
        <v>0.024</v>
      </c>
      <c r="L976" s="1357">
        <f t="shared" si="5"/>
        <v>0.321</v>
      </c>
      <c r="M976" s="1357">
        <f t="shared" si="6"/>
        <v>0.032100000000000004</v>
      </c>
      <c r="N976" s="1361">
        <v>0.024</v>
      </c>
    </row>
    <row r="977" spans="1:14" ht="12.75">
      <c r="A977" s="1070" t="s">
        <v>214</v>
      </c>
      <c r="B977" s="77"/>
      <c r="C977" s="77"/>
      <c r="D977" s="77"/>
      <c r="E977" s="77"/>
      <c r="G977" s="77"/>
      <c r="H977" s="77"/>
      <c r="I977" s="77"/>
      <c r="J977" s="77"/>
      <c r="K977" s="77"/>
      <c r="L977" s="1357">
        <f t="shared" si="5"/>
        <v>0</v>
      </c>
      <c r="M977" s="1357">
        <f t="shared" si="6"/>
        <v>0</v>
      </c>
      <c r="N977" s="1361">
        <v>0.006900000000000001</v>
      </c>
    </row>
    <row r="978" spans="1:14" ht="12.75">
      <c r="A978" s="1070" t="s">
        <v>107</v>
      </c>
      <c r="B978" s="77"/>
      <c r="C978" s="77"/>
      <c r="D978" s="77">
        <f>F251/1000</f>
        <v>0.07</v>
      </c>
      <c r="E978" s="77"/>
      <c r="F978" s="77">
        <f>F418/1000</f>
        <v>0.07</v>
      </c>
      <c r="G978" s="77"/>
      <c r="H978" s="77"/>
      <c r="I978" s="77">
        <f>F722/1000</f>
        <v>0.07</v>
      </c>
      <c r="J978" s="77"/>
      <c r="K978" s="77">
        <f>F881/1000</f>
        <v>0.07</v>
      </c>
      <c r="L978" s="1357">
        <f t="shared" si="5"/>
        <v>0.28</v>
      </c>
      <c r="M978" s="1357">
        <f t="shared" si="6"/>
        <v>0.028000000000000004</v>
      </c>
      <c r="N978" s="1357">
        <v>0.037</v>
      </c>
    </row>
    <row r="979" spans="1:14" ht="12.75">
      <c r="A979" s="1070" t="s">
        <v>72</v>
      </c>
      <c r="B979" s="77"/>
      <c r="C979" s="77">
        <f>F134/1000</f>
        <v>0.01</v>
      </c>
      <c r="D979" s="77">
        <f>(F218/1000)</f>
        <v>0.01</v>
      </c>
      <c r="E979" s="77">
        <f>F314/1000</f>
        <v>0.01</v>
      </c>
      <c r="F979" s="77"/>
      <c r="G979" s="77">
        <f>(F513+F503)/1000</f>
        <v>0.025</v>
      </c>
      <c r="H979" s="77">
        <f>(F596/1000)</f>
        <v>0.01</v>
      </c>
      <c r="I979" s="77">
        <f>(F695/1000)</f>
        <v>0.01</v>
      </c>
      <c r="J979" s="77">
        <f>F785/1000</f>
        <v>0.01</v>
      </c>
      <c r="K979" s="77"/>
      <c r="L979" s="1357">
        <f t="shared" si="5"/>
        <v>0.08499999999999999</v>
      </c>
      <c r="M979" s="1357">
        <f t="shared" si="6"/>
        <v>0.008499999999999999</v>
      </c>
      <c r="N979" s="1357">
        <v>0.011</v>
      </c>
    </row>
    <row r="980" spans="1:14" ht="12.75">
      <c r="A980" s="1070" t="s">
        <v>20</v>
      </c>
      <c r="B980" s="760">
        <f>(F13+F64)/1000</f>
        <v>0.0012</v>
      </c>
      <c r="C980" s="760">
        <f>(F173/1000)</f>
        <v>0</v>
      </c>
      <c r="D980" s="760">
        <f>F266/1000</f>
        <v>0.0006</v>
      </c>
      <c r="E980" s="760">
        <f>F354/1000</f>
        <v>0.0006000000000000001</v>
      </c>
      <c r="F980" s="760">
        <f>F451/1000</f>
        <v>0.0006000000000000001</v>
      </c>
      <c r="G980" s="760">
        <f>(F484+F540)/1000</f>
        <v>0.0012</v>
      </c>
      <c r="H980" s="760">
        <f>F645/1000</f>
        <v>0.0006</v>
      </c>
      <c r="I980" s="760">
        <f>(F736/1000)</f>
        <v>0.0006</v>
      </c>
      <c r="J980" s="760">
        <f>F824/1000</f>
        <v>0.0006000000000000001</v>
      </c>
      <c r="K980" s="760">
        <f>F911/1000</f>
        <v>0.0006000000000000001</v>
      </c>
      <c r="L980" s="1357">
        <f t="shared" si="5"/>
        <v>0.006599999999999999</v>
      </c>
      <c r="M980" s="1362">
        <f t="shared" si="6"/>
        <v>0.0006599999999999999</v>
      </c>
      <c r="N980" s="1357">
        <v>0.6</v>
      </c>
    </row>
    <row r="981" spans="1:14" ht="12.75">
      <c r="A981" s="1070" t="s">
        <v>215</v>
      </c>
      <c r="B981" s="77"/>
      <c r="C981" s="77">
        <f>F109/1000</f>
        <v>0.002</v>
      </c>
      <c r="D981" s="77"/>
      <c r="E981" s="77">
        <f>F296/1000</f>
        <v>0.0006000000000000001</v>
      </c>
      <c r="F981" s="77"/>
      <c r="G981" s="77"/>
      <c r="H981" s="77">
        <f>F575/1000</f>
        <v>0.002</v>
      </c>
      <c r="I981" s="77"/>
      <c r="J981" s="77">
        <f>F763/1000</f>
        <v>0.0006</v>
      </c>
      <c r="K981" s="77"/>
      <c r="L981" s="1357">
        <f t="shared" si="5"/>
        <v>0.0052</v>
      </c>
      <c r="M981" s="1357">
        <f t="shared" si="6"/>
        <v>0.00052</v>
      </c>
      <c r="N981" s="1357">
        <v>0.0012000000000000001</v>
      </c>
    </row>
    <row r="982" spans="1:14" ht="12.75">
      <c r="A982" s="1070" t="s">
        <v>134</v>
      </c>
      <c r="B982" s="77"/>
      <c r="C982" s="77"/>
      <c r="D982" s="77"/>
      <c r="E982" s="77"/>
      <c r="F982" s="77">
        <f>F449/1000</f>
        <v>0.0005</v>
      </c>
      <c r="G982" s="77"/>
      <c r="H982" s="77"/>
      <c r="I982" s="77"/>
      <c r="J982" s="77"/>
      <c r="K982" s="77">
        <f>F909/1000</f>
        <v>0.0005</v>
      </c>
      <c r="L982" s="1357">
        <f t="shared" si="5"/>
        <v>0.001</v>
      </c>
      <c r="M982" s="1362">
        <f t="shared" si="6"/>
        <v>0.0001</v>
      </c>
      <c r="N982" s="1357">
        <v>0.0005</v>
      </c>
    </row>
    <row r="983" spans="1:14" ht="12.75">
      <c r="A983" s="1070" t="s">
        <v>26</v>
      </c>
      <c r="B983" s="77">
        <f>F24/1000</f>
        <v>0.1</v>
      </c>
      <c r="C983" s="77">
        <f>F121/1000</f>
        <v>0.1</v>
      </c>
      <c r="D983" s="77">
        <f>F211/1000</f>
        <v>0.1</v>
      </c>
      <c r="E983" s="77">
        <f>F308/1000</f>
        <v>0.1</v>
      </c>
      <c r="F983" s="77">
        <f>F405/1000</f>
        <v>0.1</v>
      </c>
      <c r="G983" s="77">
        <f>F495/1000</f>
        <v>0.1</v>
      </c>
      <c r="H983" s="1360">
        <f>F587/1000</f>
        <v>0.1</v>
      </c>
      <c r="I983" s="77">
        <f>F681/1000</f>
        <v>0.1</v>
      </c>
      <c r="J983" s="77"/>
      <c r="K983" s="77">
        <f>F865/1000</f>
        <v>0.1</v>
      </c>
      <c r="L983" s="1357">
        <f t="shared" si="5"/>
        <v>0.8999999999999999</v>
      </c>
      <c r="M983" s="1357">
        <f t="shared" si="6"/>
        <v>0.09</v>
      </c>
      <c r="N983" s="1357">
        <v>0.1</v>
      </c>
    </row>
    <row r="984" spans="1:14" ht="12.75">
      <c r="A984" s="1070" t="s">
        <v>78</v>
      </c>
      <c r="B984" s="77"/>
      <c r="C984" s="77">
        <f>F145/1000</f>
        <v>0.002</v>
      </c>
      <c r="D984" s="77">
        <f>(F224+F258)/1000</f>
        <v>0.006</v>
      </c>
      <c r="E984" s="77"/>
      <c r="F984" s="77"/>
      <c r="G984" s="77"/>
      <c r="H984" s="77">
        <f>(F600+F614)/1000</f>
        <v>0.004</v>
      </c>
      <c r="I984" s="77">
        <f>F711/1000</f>
        <v>0.002</v>
      </c>
      <c r="J984" s="77"/>
      <c r="K984" s="77"/>
      <c r="L984" s="1357">
        <f t="shared" si="5"/>
        <v>0.014</v>
      </c>
      <c r="M984" s="1357">
        <f t="shared" si="6"/>
        <v>0.0014</v>
      </c>
      <c r="N984" s="1357"/>
    </row>
    <row r="985" spans="1:14" ht="12.75">
      <c r="A985" s="1070" t="s">
        <v>65</v>
      </c>
      <c r="B985" s="77"/>
      <c r="C985" s="77">
        <f>F114/1000</f>
        <v>0.01</v>
      </c>
      <c r="D985" s="77"/>
      <c r="E985" s="77">
        <f>F301/1000</f>
        <v>0.01</v>
      </c>
      <c r="F985" s="77"/>
      <c r="G985" s="77">
        <f>F536/1000</f>
        <v>0.01</v>
      </c>
      <c r="H985" s="77"/>
      <c r="I985" s="77">
        <f>F673/1000</f>
        <v>0.01</v>
      </c>
      <c r="J985" s="77"/>
      <c r="K985" s="77">
        <f>F859/1000</f>
        <v>0.01</v>
      </c>
      <c r="L985" s="1357">
        <f t="shared" si="5"/>
        <v>0.05</v>
      </c>
      <c r="M985" s="1357">
        <f t="shared" si="6"/>
        <v>0.005</v>
      </c>
      <c r="N985" s="1357">
        <v>0.006</v>
      </c>
    </row>
    <row r="986" spans="1:14" ht="13.5" thickBot="1">
      <c r="A986" s="1363" t="s">
        <v>127</v>
      </c>
      <c r="B986" s="1364"/>
      <c r="C986" s="1365"/>
      <c r="D986" s="1364">
        <f>F199/1000</f>
        <v>0.0006000000000000001</v>
      </c>
      <c r="E986" s="1364"/>
      <c r="F986" s="1364">
        <f>F391/1000</f>
        <v>0.002</v>
      </c>
      <c r="G986" s="818"/>
      <c r="H986" s="82">
        <f>F642/1000</f>
        <v>0.001</v>
      </c>
      <c r="I986" s="1364">
        <f>F668/1000</f>
        <v>0.0006</v>
      </c>
      <c r="J986" s="1364"/>
      <c r="K986" s="1364">
        <f>F854/1000</f>
        <v>0.002</v>
      </c>
      <c r="L986" s="1366">
        <f t="shared" si="5"/>
        <v>0.0062</v>
      </c>
      <c r="M986" s="1366">
        <f t="shared" si="6"/>
        <v>0.00062</v>
      </c>
      <c r="N986" s="1366">
        <v>0.6000000000000001</v>
      </c>
    </row>
    <row r="987" spans="1:14" ht="12.75">
      <c r="A987" s="286"/>
      <c r="B987" s="595"/>
      <c r="C987" s="1367"/>
      <c r="D987" s="595"/>
      <c r="E987" s="595"/>
      <c r="F987" s="595"/>
      <c r="G987" s="286"/>
      <c r="H987" s="270"/>
      <c r="I987" s="595"/>
      <c r="J987" s="595"/>
      <c r="K987" s="595"/>
      <c r="L987" s="270"/>
      <c r="M987" s="270"/>
      <c r="N987" s="270"/>
    </row>
    <row r="988" spans="1:14" ht="12.75">
      <c r="A988" s="286"/>
      <c r="B988" s="595"/>
      <c r="C988" s="1367"/>
      <c r="D988" s="595"/>
      <c r="E988" s="595"/>
      <c r="F988" s="595"/>
      <c r="G988" s="286"/>
      <c r="H988" s="270"/>
      <c r="I988" s="595"/>
      <c r="J988" s="595"/>
      <c r="K988" s="595"/>
      <c r="L988" s="270"/>
      <c r="M988" s="270"/>
      <c r="N988" s="270"/>
    </row>
    <row r="989" spans="1:14" ht="12.75">
      <c r="A989" s="286"/>
      <c r="B989" s="595"/>
      <c r="C989" s="1367"/>
      <c r="D989" s="595"/>
      <c r="E989" s="595"/>
      <c r="F989" s="595"/>
      <c r="G989" s="286"/>
      <c r="H989" s="270"/>
      <c r="I989" s="595"/>
      <c r="J989" s="595"/>
      <c r="K989" s="595"/>
      <c r="L989" s="270"/>
      <c r="M989" s="270"/>
      <c r="N989" s="270"/>
    </row>
    <row r="990" spans="1:14" ht="12.75">
      <c r="A990" s="286"/>
      <c r="B990" s="595"/>
      <c r="C990" s="1367"/>
      <c r="D990" s="595"/>
      <c r="E990" s="595"/>
      <c r="F990" s="595"/>
      <c r="G990" s="286"/>
      <c r="H990" s="270"/>
      <c r="I990" s="595"/>
      <c r="J990" s="595"/>
      <c r="K990" s="595"/>
      <c r="L990" s="270"/>
      <c r="M990" s="270"/>
      <c r="N990" s="270"/>
    </row>
    <row r="991" spans="1:14" ht="12.75">
      <c r="A991" s="286"/>
      <c r="B991" s="595"/>
      <c r="C991" s="1367"/>
      <c r="D991" s="595"/>
      <c r="E991" s="595"/>
      <c r="F991" s="595"/>
      <c r="G991" s="286"/>
      <c r="H991" s="270"/>
      <c r="I991" s="595"/>
      <c r="J991" s="595"/>
      <c r="K991" s="595"/>
      <c r="L991" s="270"/>
      <c r="M991" s="270"/>
      <c r="N991" s="270"/>
    </row>
    <row r="992" spans="1:14" ht="12.75">
      <c r="A992" s="286"/>
      <c r="B992" s="595"/>
      <c r="C992" s="1367"/>
      <c r="D992" s="595"/>
      <c r="E992" s="595"/>
      <c r="F992" s="595"/>
      <c r="G992" s="286"/>
      <c r="H992" s="270"/>
      <c r="I992" s="595"/>
      <c r="J992" s="595"/>
      <c r="K992" s="595"/>
      <c r="L992" s="270"/>
      <c r="M992" s="270"/>
      <c r="N992" s="270"/>
    </row>
    <row r="993" spans="1:14" ht="12.75">
      <c r="A993" s="286"/>
      <c r="B993" s="595"/>
      <c r="C993" s="1367"/>
      <c r="D993" s="595"/>
      <c r="E993" s="595"/>
      <c r="F993" s="595"/>
      <c r="G993" s="286"/>
      <c r="H993" s="270"/>
      <c r="I993" s="595"/>
      <c r="J993" s="595"/>
      <c r="K993" s="595"/>
      <c r="L993" s="270"/>
      <c r="M993" s="270"/>
      <c r="N993" s="270"/>
    </row>
    <row r="994" spans="1:14" ht="12.75">
      <c r="A994" s="286"/>
      <c r="B994" s="595"/>
      <c r="C994" s="1367"/>
      <c r="D994" s="595"/>
      <c r="E994" s="595"/>
      <c r="F994" s="595"/>
      <c r="G994" s="286"/>
      <c r="H994" s="270"/>
      <c r="I994" s="595"/>
      <c r="J994" s="595"/>
      <c r="K994" s="595"/>
      <c r="L994" s="270"/>
      <c r="M994" s="270"/>
      <c r="N994" s="270"/>
    </row>
    <row r="995" spans="1:14" ht="12.75">
      <c r="A995" s="286"/>
      <c r="B995" s="595"/>
      <c r="C995" s="1367"/>
      <c r="D995" s="595"/>
      <c r="E995" s="595"/>
      <c r="F995" s="595"/>
      <c r="G995" s="286"/>
      <c r="H995" s="270"/>
      <c r="I995" s="595"/>
      <c r="J995" s="595"/>
      <c r="K995" s="595"/>
      <c r="L995" s="270"/>
      <c r="M995" s="270"/>
      <c r="N995" s="270"/>
    </row>
    <row r="996" spans="1:14" ht="12.75">
      <c r="A996" s="286"/>
      <c r="B996" s="595"/>
      <c r="C996" s="1367"/>
      <c r="D996" s="595"/>
      <c r="E996" s="595"/>
      <c r="F996" s="595"/>
      <c r="G996" s="286"/>
      <c r="H996" s="270"/>
      <c r="I996" s="595"/>
      <c r="J996" s="595"/>
      <c r="K996" s="595"/>
      <c r="L996" s="270"/>
      <c r="M996" s="270"/>
      <c r="N996" s="270"/>
    </row>
    <row r="997" spans="1:14" ht="12.75">
      <c r="A997" s="286"/>
      <c r="B997" s="595"/>
      <c r="C997" s="1367"/>
      <c r="D997" s="595"/>
      <c r="E997" s="595"/>
      <c r="F997" s="595"/>
      <c r="G997" s="286"/>
      <c r="H997" s="270"/>
      <c r="I997" s="595"/>
      <c r="J997" s="595"/>
      <c r="K997" s="595"/>
      <c r="L997" s="270"/>
      <c r="M997" s="270"/>
      <c r="N997" s="270"/>
    </row>
    <row r="998" spans="1:14" ht="12.75">
      <c r="A998" s="286"/>
      <c r="B998" s="595"/>
      <c r="C998" s="1367"/>
      <c r="D998" s="595"/>
      <c r="E998" s="595"/>
      <c r="F998" s="595"/>
      <c r="G998" s="286"/>
      <c r="H998" s="270"/>
      <c r="I998" s="595"/>
      <c r="J998" s="595"/>
      <c r="K998" s="595"/>
      <c r="L998" s="270"/>
      <c r="M998" s="270"/>
      <c r="N998" s="270"/>
    </row>
    <row r="999" spans="1:14" ht="12.75">
      <c r="A999" s="286"/>
      <c r="B999" s="595"/>
      <c r="C999" s="1367"/>
      <c r="D999" s="595"/>
      <c r="E999" s="595"/>
      <c r="F999" s="595"/>
      <c r="G999" s="286"/>
      <c r="H999" s="270"/>
      <c r="I999" s="595"/>
      <c r="J999" s="595"/>
      <c r="K999" s="595"/>
      <c r="L999" s="270"/>
      <c r="M999" s="270"/>
      <c r="N999" s="270"/>
    </row>
    <row r="1000" spans="1:14" ht="12.75">
      <c r="A1000" s="286"/>
      <c r="B1000" s="595"/>
      <c r="C1000" s="1367"/>
      <c r="D1000" s="595"/>
      <c r="E1000" s="595"/>
      <c r="F1000" s="595"/>
      <c r="G1000" s="286"/>
      <c r="H1000" s="270"/>
      <c r="I1000" s="595"/>
      <c r="J1000" s="595"/>
      <c r="K1000" s="595"/>
      <c r="L1000" s="270"/>
      <c r="M1000" s="270"/>
      <c r="N1000" s="270"/>
    </row>
    <row r="1001" spans="1:14" ht="12.75">
      <c r="A1001" s="286"/>
      <c r="B1001" s="595"/>
      <c r="C1001" s="1367"/>
      <c r="D1001" s="595"/>
      <c r="E1001" s="595"/>
      <c r="F1001" s="595"/>
      <c r="G1001" s="286"/>
      <c r="H1001" s="270"/>
      <c r="I1001" s="595"/>
      <c r="J1001" s="595"/>
      <c r="K1001" s="595"/>
      <c r="L1001" s="270"/>
      <c r="M1001" s="270"/>
      <c r="N1001" s="270"/>
    </row>
    <row r="1002" spans="1:14" ht="12.75">
      <c r="A1002" s="286"/>
      <c r="B1002" s="595"/>
      <c r="C1002" s="1367"/>
      <c r="D1002" s="595"/>
      <c r="E1002" s="595"/>
      <c r="F1002" s="595"/>
      <c r="G1002" s="286"/>
      <c r="H1002" s="270"/>
      <c r="I1002" s="595"/>
      <c r="J1002" s="595"/>
      <c r="K1002" s="595"/>
      <c r="L1002" s="270"/>
      <c r="M1002" s="270"/>
      <c r="N1002" s="270"/>
    </row>
    <row r="1003" spans="1:14" ht="12.75">
      <c r="A1003" s="286"/>
      <c r="B1003" s="595"/>
      <c r="C1003" s="1367"/>
      <c r="D1003" s="595"/>
      <c r="E1003" s="595"/>
      <c r="F1003" s="595"/>
      <c r="G1003" s="286"/>
      <c r="H1003" s="270"/>
      <c r="I1003" s="595"/>
      <c r="J1003" s="595"/>
      <c r="K1003" s="595"/>
      <c r="L1003" s="270"/>
      <c r="M1003" s="270"/>
      <c r="N1003" s="270"/>
    </row>
    <row r="1004" spans="1:14" ht="12.75">
      <c r="A1004" s="286"/>
      <c r="B1004" s="595"/>
      <c r="C1004" s="1367"/>
      <c r="D1004" s="595"/>
      <c r="E1004" s="595"/>
      <c r="F1004" s="595"/>
      <c r="G1004" s="286"/>
      <c r="H1004" s="270"/>
      <c r="I1004" s="595"/>
      <c r="J1004" s="595"/>
      <c r="K1004" s="595"/>
      <c r="L1004" s="270"/>
      <c r="M1004" s="270"/>
      <c r="N1004" s="270"/>
    </row>
    <row r="1005" spans="1:14" ht="12.75">
      <c r="A1005" s="286"/>
      <c r="B1005" s="595"/>
      <c r="C1005" s="1367"/>
      <c r="D1005" s="595"/>
      <c r="E1005" s="595"/>
      <c r="F1005" s="595"/>
      <c r="G1005" s="286"/>
      <c r="H1005" s="270"/>
      <c r="I1005" s="595"/>
      <c r="J1005" s="595"/>
      <c r="K1005" s="595"/>
      <c r="L1005" s="270"/>
      <c r="M1005" s="270"/>
      <c r="N1005" s="270"/>
    </row>
    <row r="1006" spans="1:14" ht="12.75">
      <c r="A1006" s="286"/>
      <c r="B1006" s="595"/>
      <c r="C1006" s="1367"/>
      <c r="D1006" s="595"/>
      <c r="E1006" s="595"/>
      <c r="F1006" s="595"/>
      <c r="G1006" s="286"/>
      <c r="H1006" s="270"/>
      <c r="I1006" s="595"/>
      <c r="J1006" s="595"/>
      <c r="K1006" s="595"/>
      <c r="L1006" s="270"/>
      <c r="M1006" s="270"/>
      <c r="N1006" s="270"/>
    </row>
    <row r="1007" spans="1:14" ht="12.75">
      <c r="A1007" s="286"/>
      <c r="B1007" s="595"/>
      <c r="C1007" s="1367"/>
      <c r="D1007" s="595"/>
      <c r="E1007" s="595"/>
      <c r="F1007" s="595"/>
      <c r="G1007" s="286"/>
      <c r="H1007" s="270"/>
      <c r="I1007" s="595"/>
      <c r="J1007" s="595"/>
      <c r="K1007" s="595"/>
      <c r="L1007" s="270"/>
      <c r="M1007" s="270"/>
      <c r="N1007" s="270"/>
    </row>
    <row r="1008" spans="1:14" ht="12.75">
      <c r="A1008" s="286"/>
      <c r="B1008" s="595"/>
      <c r="C1008" s="1367"/>
      <c r="D1008" s="595"/>
      <c r="E1008" s="595"/>
      <c r="F1008" s="595"/>
      <c r="G1008" s="286"/>
      <c r="H1008" s="270"/>
      <c r="I1008" s="595"/>
      <c r="J1008" s="595"/>
      <c r="K1008" s="595"/>
      <c r="L1008" s="270"/>
      <c r="M1008" s="270"/>
      <c r="N1008" s="270"/>
    </row>
    <row r="1009" spans="1:14" ht="12.75">
      <c r="A1009" s="286"/>
      <c r="B1009" s="595"/>
      <c r="C1009" s="1367"/>
      <c r="D1009" s="595"/>
      <c r="E1009" s="595"/>
      <c r="F1009" s="595"/>
      <c r="G1009" s="286"/>
      <c r="H1009" s="270"/>
      <c r="I1009" s="595"/>
      <c r="J1009" s="595"/>
      <c r="K1009" s="595"/>
      <c r="L1009" s="270"/>
      <c r="M1009" s="270"/>
      <c r="N1009" s="270"/>
    </row>
    <row r="1010" spans="1:14" ht="12.75">
      <c r="A1010" s="286"/>
      <c r="B1010" s="595"/>
      <c r="C1010" s="1367"/>
      <c r="D1010" s="595"/>
      <c r="E1010" s="595"/>
      <c r="F1010" s="595"/>
      <c r="G1010" s="286"/>
      <c r="H1010" s="270"/>
      <c r="I1010" s="595"/>
      <c r="J1010" s="595"/>
      <c r="K1010" s="595"/>
      <c r="L1010" s="270"/>
      <c r="M1010" s="270"/>
      <c r="N1010" s="270"/>
    </row>
    <row r="1011" spans="1:14" ht="12.75">
      <c r="A1011" s="286"/>
      <c r="B1011" s="595"/>
      <c r="C1011" s="1367"/>
      <c r="D1011" s="595"/>
      <c r="E1011" s="595"/>
      <c r="F1011" s="595"/>
      <c r="G1011" s="286"/>
      <c r="H1011" s="270"/>
      <c r="I1011" s="595"/>
      <c r="J1011" s="595"/>
      <c r="K1011" s="595"/>
      <c r="L1011" s="270"/>
      <c r="M1011" s="270"/>
      <c r="N1011" s="270"/>
    </row>
    <row r="1012" spans="1:14" ht="12.75">
      <c r="A1012" s="286"/>
      <c r="B1012" s="595"/>
      <c r="C1012" s="1367"/>
      <c r="D1012" s="595"/>
      <c r="E1012" s="595"/>
      <c r="F1012" s="595"/>
      <c r="G1012" s="286"/>
      <c r="H1012" s="270"/>
      <c r="I1012" s="595"/>
      <c r="J1012" s="595"/>
      <c r="K1012" s="595"/>
      <c r="L1012" s="270"/>
      <c r="M1012" s="270"/>
      <c r="N1012" s="270"/>
    </row>
    <row r="1013" spans="1:14" ht="12.75">
      <c r="A1013" s="286"/>
      <c r="B1013" s="595"/>
      <c r="C1013" s="1367"/>
      <c r="D1013" s="595"/>
      <c r="E1013" s="595"/>
      <c r="F1013" s="595"/>
      <c r="G1013" s="286"/>
      <c r="H1013" s="270"/>
      <c r="I1013" s="595"/>
      <c r="J1013" s="595"/>
      <c r="K1013" s="595"/>
      <c r="L1013" s="270"/>
      <c r="M1013" s="270"/>
      <c r="N1013" s="270"/>
    </row>
    <row r="1014" spans="1:14" ht="12.75">
      <c r="A1014" s="286"/>
      <c r="B1014" s="595"/>
      <c r="C1014" s="1367"/>
      <c r="D1014" s="595"/>
      <c r="E1014" s="595"/>
      <c r="F1014" s="595"/>
      <c r="G1014" s="286"/>
      <c r="H1014" s="270"/>
      <c r="I1014" s="595"/>
      <c r="J1014" s="595"/>
      <c r="K1014" s="595"/>
      <c r="L1014" s="270"/>
      <c r="M1014" s="270"/>
      <c r="N1014" s="270"/>
    </row>
    <row r="1015" spans="1:14" ht="12.75">
      <c r="A1015" s="286"/>
      <c r="B1015" s="595"/>
      <c r="C1015" s="1367"/>
      <c r="D1015" s="595"/>
      <c r="E1015" s="595"/>
      <c r="F1015" s="595"/>
      <c r="G1015" s="286"/>
      <c r="H1015" s="270"/>
      <c r="I1015" s="595"/>
      <c r="J1015" s="595"/>
      <c r="K1015" s="595"/>
      <c r="L1015" s="270"/>
      <c r="M1015" s="270"/>
      <c r="N1015" s="270"/>
    </row>
    <row r="1016" spans="1:14" ht="12.75">
      <c r="A1016" s="286"/>
      <c r="B1016" s="595"/>
      <c r="C1016" s="1367"/>
      <c r="D1016" s="595"/>
      <c r="E1016" s="595"/>
      <c r="F1016" s="595"/>
      <c r="G1016" s="286"/>
      <c r="H1016" s="270"/>
      <c r="I1016" s="595"/>
      <c r="J1016" s="595"/>
      <c r="K1016" s="595"/>
      <c r="L1016" s="270"/>
      <c r="M1016" s="270"/>
      <c r="N1016" s="270"/>
    </row>
    <row r="1017" spans="1:14" ht="12.75">
      <c r="A1017" s="286"/>
      <c r="B1017" s="595"/>
      <c r="C1017" s="1367"/>
      <c r="D1017" s="595"/>
      <c r="E1017" s="595"/>
      <c r="F1017" s="595"/>
      <c r="G1017" s="286"/>
      <c r="H1017" s="270"/>
      <c r="I1017" s="595"/>
      <c r="J1017" s="595"/>
      <c r="K1017" s="595"/>
      <c r="L1017" s="270"/>
      <c r="M1017" s="270"/>
      <c r="N1017" s="270"/>
    </row>
    <row r="1018" spans="1:14" ht="12.75">
      <c r="A1018" s="286"/>
      <c r="B1018" s="595"/>
      <c r="C1018" s="1367"/>
      <c r="D1018" s="595"/>
      <c r="E1018" s="595"/>
      <c r="F1018" s="595"/>
      <c r="G1018" s="286"/>
      <c r="H1018" s="270"/>
      <c r="I1018" s="595"/>
      <c r="J1018" s="595"/>
      <c r="K1018" s="595"/>
      <c r="L1018" s="270"/>
      <c r="M1018" s="270"/>
      <c r="N1018" s="270"/>
    </row>
    <row r="1019" spans="1:14" ht="12.75">
      <c r="A1019" s="286"/>
      <c r="B1019" s="595"/>
      <c r="C1019" s="1367"/>
      <c r="D1019" s="595"/>
      <c r="E1019" s="595"/>
      <c r="F1019" s="595"/>
      <c r="G1019" s="286"/>
      <c r="H1019" s="270"/>
      <c r="I1019" s="595"/>
      <c r="J1019" s="595"/>
      <c r="K1019" s="595"/>
      <c r="L1019" s="270"/>
      <c r="M1019" s="270"/>
      <c r="N1019" s="270"/>
    </row>
    <row r="1020" spans="1:14" ht="12.75">
      <c r="A1020" s="286"/>
      <c r="B1020" s="595"/>
      <c r="C1020" s="1367"/>
      <c r="D1020" s="595"/>
      <c r="E1020" s="595"/>
      <c r="F1020" s="595"/>
      <c r="G1020" s="286"/>
      <c r="H1020" s="270"/>
      <c r="I1020" s="595"/>
      <c r="J1020" s="595"/>
      <c r="K1020" s="595"/>
      <c r="L1020" s="270"/>
      <c r="M1020" s="270"/>
      <c r="N1020" s="270"/>
    </row>
    <row r="1021" spans="1:14" ht="12.75">
      <c r="A1021" s="286"/>
      <c r="B1021" s="595"/>
      <c r="C1021" s="1367"/>
      <c r="D1021" s="595"/>
      <c r="E1021" s="595"/>
      <c r="F1021" s="595"/>
      <c r="G1021" s="286"/>
      <c r="H1021" s="270"/>
      <c r="I1021" s="595"/>
      <c r="J1021" s="595"/>
      <c r="K1021" s="595"/>
      <c r="L1021" s="270"/>
      <c r="M1021" s="270"/>
      <c r="N1021" s="270"/>
    </row>
    <row r="1022" spans="1:14" ht="12.75">
      <c r="A1022" s="286"/>
      <c r="B1022" s="595"/>
      <c r="C1022" s="1367"/>
      <c r="D1022" s="595"/>
      <c r="E1022" s="595"/>
      <c r="F1022" s="595"/>
      <c r="G1022" s="286"/>
      <c r="H1022" s="270"/>
      <c r="I1022" s="595"/>
      <c r="J1022" s="595"/>
      <c r="K1022" s="595"/>
      <c r="L1022" s="270"/>
      <c r="M1022" s="270"/>
      <c r="N1022" s="270"/>
    </row>
    <row r="1023" spans="1:14" ht="12.75">
      <c r="A1023" s="286"/>
      <c r="B1023" s="595"/>
      <c r="C1023" s="1367"/>
      <c r="D1023" s="595"/>
      <c r="E1023" s="595"/>
      <c r="F1023" s="595"/>
      <c r="G1023" s="286"/>
      <c r="H1023" s="270"/>
      <c r="I1023" s="595"/>
      <c r="J1023" s="595"/>
      <c r="K1023" s="595"/>
      <c r="L1023" s="270"/>
      <c r="M1023" s="270"/>
      <c r="N1023" s="270"/>
    </row>
    <row r="1024" spans="1:14" ht="12.75">
      <c r="A1024" s="286"/>
      <c r="B1024" s="595"/>
      <c r="C1024" s="1367"/>
      <c r="D1024" s="595"/>
      <c r="E1024" s="595"/>
      <c r="F1024" s="595"/>
      <c r="G1024" s="286"/>
      <c r="H1024" s="270"/>
      <c r="I1024" s="595"/>
      <c r="J1024" s="595"/>
      <c r="K1024" s="595"/>
      <c r="L1024" s="270"/>
      <c r="M1024" s="270"/>
      <c r="N1024" s="270"/>
    </row>
    <row r="1025" spans="1:14" ht="12.75">
      <c r="A1025" s="286"/>
      <c r="B1025" s="595"/>
      <c r="C1025" s="1367"/>
      <c r="D1025" s="595"/>
      <c r="E1025" s="595"/>
      <c r="F1025" s="595"/>
      <c r="G1025" s="286"/>
      <c r="H1025" s="270"/>
      <c r="I1025" s="595"/>
      <c r="J1025" s="595"/>
      <c r="K1025" s="595"/>
      <c r="L1025" s="270"/>
      <c r="M1025" s="270"/>
      <c r="N1025" s="270"/>
    </row>
    <row r="1026" spans="1:14" ht="12.75">
      <c r="A1026" s="286"/>
      <c r="B1026" s="595"/>
      <c r="C1026" s="1367"/>
      <c r="D1026" s="595"/>
      <c r="E1026" s="595"/>
      <c r="F1026" s="595"/>
      <c r="G1026" s="286"/>
      <c r="H1026" s="270"/>
      <c r="I1026" s="595"/>
      <c r="J1026" s="595"/>
      <c r="K1026" s="595"/>
      <c r="L1026" s="270"/>
      <c r="M1026" s="270"/>
      <c r="N1026" s="270"/>
    </row>
    <row r="1027" spans="1:14" ht="12.75">
      <c r="A1027" s="286"/>
      <c r="B1027" s="595"/>
      <c r="C1027" s="1367"/>
      <c r="D1027" s="595"/>
      <c r="E1027" s="595"/>
      <c r="F1027" s="595"/>
      <c r="G1027" s="286"/>
      <c r="H1027" s="270"/>
      <c r="I1027" s="595"/>
      <c r="J1027" s="595"/>
      <c r="K1027" s="595"/>
      <c r="L1027" s="270"/>
      <c r="M1027" s="270"/>
      <c r="N1027" s="270"/>
    </row>
    <row r="1031" ht="15.75">
      <c r="A1031" s="1309" t="s">
        <v>216</v>
      </c>
    </row>
    <row r="1032" ht="13.5" thickBot="1"/>
    <row r="1033" spans="1:9" ht="18.75" thickBot="1">
      <c r="A1033" s="1368" t="s">
        <v>201</v>
      </c>
      <c r="B1033" s="1368" t="s">
        <v>217</v>
      </c>
      <c r="C1033" s="1368" t="s">
        <v>218</v>
      </c>
      <c r="D1033" s="1368" t="s">
        <v>219</v>
      </c>
      <c r="E1033" s="1368" t="s">
        <v>220</v>
      </c>
      <c r="F1033" s="1368" t="s">
        <v>221</v>
      </c>
      <c r="G1033" s="1369"/>
      <c r="H1033" s="1369"/>
      <c r="I1033" s="1370"/>
    </row>
    <row r="1034" spans="1:9" ht="12.75">
      <c r="A1034" s="1070" t="s">
        <v>48</v>
      </c>
      <c r="B1034" s="78">
        <f>(L958*0.16)</f>
        <v>0.0888</v>
      </c>
      <c r="C1034" s="77">
        <f>L958*0.06</f>
        <v>0.0333</v>
      </c>
      <c r="D1034" s="78"/>
      <c r="E1034" s="78">
        <f>L958*23</f>
        <v>12.765</v>
      </c>
      <c r="F1034" s="78">
        <f>L958*2</f>
        <v>1.11</v>
      </c>
      <c r="G1034" s="78"/>
      <c r="H1034" s="78"/>
      <c r="I1034" s="762"/>
    </row>
    <row r="1035" spans="1:9" ht="12.75">
      <c r="A1035" s="1070" t="s">
        <v>41</v>
      </c>
      <c r="B1035" s="78">
        <f>L959*0.18</f>
        <v>0.08999999999999998</v>
      </c>
      <c r="C1035" s="77">
        <f>L959*0.08</f>
        <v>0.039999999999999994</v>
      </c>
      <c r="D1035" s="78"/>
      <c r="E1035" s="78">
        <f>L959*35</f>
        <v>17.499999999999996</v>
      </c>
      <c r="F1035" s="78">
        <f>L959*3.9</f>
        <v>1.9499999999999997</v>
      </c>
      <c r="G1035" s="78"/>
      <c r="H1035" s="78"/>
      <c r="I1035" s="762"/>
    </row>
    <row r="1036" spans="1:9" ht="12.75">
      <c r="A1036" s="1070" t="s">
        <v>205</v>
      </c>
      <c r="B1036" s="78">
        <f>L960*0.17</f>
        <v>0.0221</v>
      </c>
      <c r="C1036" s="77">
        <f>L960*0.04</f>
        <v>0.005200000000000001</v>
      </c>
      <c r="D1036" s="78"/>
      <c r="E1036" s="78">
        <f>L960*18</f>
        <v>2.34</v>
      </c>
      <c r="F1036" s="78">
        <f>L960*1.2</f>
        <v>0.156</v>
      </c>
      <c r="G1036" s="78"/>
      <c r="H1036" s="78"/>
      <c r="I1036" s="762"/>
    </row>
    <row r="1037" spans="1:9" ht="12.75">
      <c r="A1037" s="1070" t="s">
        <v>222</v>
      </c>
      <c r="B1037" s="78">
        <f>(F8+F346+F635+F818)/1000*0.3</f>
        <v>0.04080000000000001</v>
      </c>
      <c r="C1037" s="77">
        <f>(F8+F346+F635+F818)/1000*0.1</f>
        <v>0.013600000000000001</v>
      </c>
      <c r="D1037" s="78"/>
      <c r="E1037" s="78">
        <f>(F8+F346+F635+F818)/1000*40</f>
        <v>5.44</v>
      </c>
      <c r="F1037" s="78">
        <f>(F8+F346+F635+F818)/1000*4.4</f>
        <v>0.5984</v>
      </c>
      <c r="G1037" s="78"/>
      <c r="H1037" s="78"/>
      <c r="I1037" s="762"/>
    </row>
    <row r="1038" spans="1:9" ht="12.75">
      <c r="A1038" s="1070" t="s">
        <v>60</v>
      </c>
      <c r="B1038" s="77">
        <f>(F388+F572)/1000*0.42</f>
        <v>0.00336</v>
      </c>
      <c r="C1038" s="77">
        <f>(F388+F572)/1000*0.04</f>
        <v>0.00032</v>
      </c>
      <c r="D1038" s="78"/>
      <c r="E1038" s="78">
        <f>(F388+F572)/1000*27</f>
        <v>0.216</v>
      </c>
      <c r="F1038" s="78">
        <f>(F388+F572)/1000*9</f>
        <v>0.07200000000000001</v>
      </c>
      <c r="G1038" s="78"/>
      <c r="H1038" s="78"/>
      <c r="I1038" s="762"/>
    </row>
    <row r="1039" spans="1:9" ht="12.75">
      <c r="A1039" s="1070" t="s">
        <v>223</v>
      </c>
      <c r="B1039" s="77">
        <f>(F106+F785)/1000*0.45</f>
        <v>0.0135</v>
      </c>
      <c r="C1039" s="77">
        <f>(F106+F785)/1000*0.1</f>
        <v>0.003</v>
      </c>
      <c r="D1039" s="78"/>
      <c r="E1039" s="78">
        <f>(F106+F785)/1000*52</f>
        <v>1.56</v>
      </c>
      <c r="F1039" s="78">
        <f>(F106+F785)/1000*3.6</f>
        <v>0.108</v>
      </c>
      <c r="G1039" s="78"/>
      <c r="H1039" s="78"/>
      <c r="I1039" s="762"/>
    </row>
    <row r="1040" spans="1:9" ht="12.75">
      <c r="A1040" s="1070" t="s">
        <v>224</v>
      </c>
      <c r="B1040" s="77">
        <f>F786/1000*0.12</f>
        <v>0.0072</v>
      </c>
      <c r="C1040" s="77">
        <f>F786/1000*0.06</f>
        <v>0.0036</v>
      </c>
      <c r="D1040" s="78"/>
      <c r="E1040" s="78">
        <f>38*F786/1000</f>
        <v>2.28</v>
      </c>
      <c r="F1040" s="78">
        <f>7.8*F786/1000</f>
        <v>0.468</v>
      </c>
      <c r="G1040" s="78"/>
      <c r="H1040" s="78"/>
      <c r="I1040" s="762"/>
    </row>
    <row r="1041" spans="1:9" ht="12.75">
      <c r="A1041" s="1070" t="s">
        <v>176</v>
      </c>
      <c r="B1041" s="77">
        <f>(+F293/1000*0.3)</f>
        <v>0.0075000000000000015</v>
      </c>
      <c r="C1041" s="77">
        <f>(+F293/1000*0.14)</f>
        <v>0.0035000000000000005</v>
      </c>
      <c r="D1041" s="78"/>
      <c r="E1041" s="78">
        <f>F293/1000*70</f>
        <v>1.75</v>
      </c>
      <c r="F1041" s="78">
        <f>(F293)/1000*8.3</f>
        <v>0.20750000000000002</v>
      </c>
      <c r="G1041" s="78"/>
      <c r="H1041" s="78"/>
      <c r="I1041" s="762"/>
    </row>
    <row r="1042" spans="1:9" ht="12.75">
      <c r="A1042" s="1070" t="s">
        <v>92</v>
      </c>
      <c r="B1042" s="77" t="e">
        <f>(#REF!+F428+F851)/1000*0.08</f>
        <v>#REF!</v>
      </c>
      <c r="C1042" s="77" t="e">
        <f>(#REF!+F428+F851)/1000*0.04</f>
        <v>#REF!</v>
      </c>
      <c r="D1042" s="78"/>
      <c r="E1042" s="78" t="e">
        <f>(#REF!+F428+F851)/1000*8</f>
        <v>#REF!</v>
      </c>
      <c r="F1042" s="78" t="e">
        <f>(#REF!+F428+F851)/1000*1</f>
        <v>#REF!</v>
      </c>
      <c r="G1042" s="78"/>
      <c r="H1042" s="78"/>
      <c r="I1042" s="762"/>
    </row>
    <row r="1043" spans="1:9" ht="12.75">
      <c r="A1043" s="1070" t="s">
        <v>102</v>
      </c>
      <c r="B1043" s="77">
        <f>L962*0.17</f>
        <v>0.0204</v>
      </c>
      <c r="C1043" s="77">
        <f>L962*0.04</f>
        <v>0.0048</v>
      </c>
      <c r="D1043" s="78"/>
      <c r="E1043" s="78">
        <f>L962*19</f>
        <v>2.28</v>
      </c>
      <c r="F1043" s="78">
        <f>L962*1.6</f>
        <v>0.192</v>
      </c>
      <c r="G1043" s="78"/>
      <c r="H1043" s="78"/>
      <c r="I1043" s="762"/>
    </row>
    <row r="1044" spans="1:9" ht="12.75">
      <c r="A1044" s="1070" t="s">
        <v>32</v>
      </c>
      <c r="B1044" s="77">
        <f>L963*0.12</f>
        <v>0.14112</v>
      </c>
      <c r="C1044" s="77">
        <f>L963*0.07</f>
        <v>0.08232</v>
      </c>
      <c r="D1044" s="78">
        <f>L963*7</f>
        <v>8.232</v>
      </c>
      <c r="E1044" s="78">
        <f>L963*10</f>
        <v>11.76</v>
      </c>
      <c r="F1044" s="78">
        <f>L963*0.9</f>
        <v>1.0584</v>
      </c>
      <c r="G1044" s="78"/>
      <c r="H1044" s="78"/>
      <c r="I1044" s="762"/>
    </row>
    <row r="1045" spans="1:9" ht="12.75">
      <c r="A1045" s="1070" t="s">
        <v>34</v>
      </c>
      <c r="B1045" s="77" t="e">
        <f>G1045/1000*0.06</f>
        <v>#REF!</v>
      </c>
      <c r="C1045" s="77" t="e">
        <f>G1045/1000*0.07</f>
        <v>#REF!</v>
      </c>
      <c r="D1045" s="77">
        <f>261/1000*5</f>
        <v>1.3050000000000002</v>
      </c>
      <c r="E1045" s="77">
        <f>261/1000*27</f>
        <v>7.047000000000001</v>
      </c>
      <c r="F1045" s="77">
        <f>261/1000*0.7</f>
        <v>0.18270000000000003</v>
      </c>
      <c r="G1045" s="78" t="e">
        <f>F36+F44+#REF!+#REF!+#REF!+#REF!+F518+#REF!+F710+F726+F788+#REF!</f>
        <v>#REF!</v>
      </c>
      <c r="H1045" s="78"/>
      <c r="I1045" s="762"/>
    </row>
    <row r="1046" spans="1:9" ht="12.75">
      <c r="A1046" s="1070" t="s">
        <v>97</v>
      </c>
      <c r="B1046" s="77">
        <f>110/1000*0.02</f>
        <v>0.0022</v>
      </c>
      <c r="C1046" s="77">
        <f>110/1000*0.04</f>
        <v>0.0044</v>
      </c>
      <c r="D1046" s="78">
        <f>110/1000*10</f>
        <v>1.1</v>
      </c>
      <c r="E1046" s="78">
        <f>110/1000*37</f>
        <v>4.07</v>
      </c>
      <c r="F1046" s="78">
        <f>110/1000*1.4</f>
        <v>0.154</v>
      </c>
      <c r="G1046" s="78">
        <f>F602</f>
        <v>0</v>
      </c>
      <c r="H1046" s="78"/>
      <c r="I1046" s="762"/>
    </row>
    <row r="1047" spans="1:9" ht="12.75">
      <c r="A1047" s="1070" t="s">
        <v>33</v>
      </c>
      <c r="B1047" s="77">
        <f>(253)/1000*0.05</f>
        <v>0.012650000000000002</v>
      </c>
      <c r="C1047" s="77">
        <f>253/1000*0.02</f>
        <v>0.00506</v>
      </c>
      <c r="D1047" s="78">
        <f>253/1000*10</f>
        <v>2.5300000000000002</v>
      </c>
      <c r="E1047" s="78">
        <f>253/1000*31</f>
        <v>7.843</v>
      </c>
      <c r="F1047" s="78">
        <f>253/1000*0.8</f>
        <v>0.20240000000000002</v>
      </c>
      <c r="G1047" s="78" t="e">
        <f>F43+#REF!+F137+F225+F232+F253+#REF!+F325+#REF!+F419+F508+F517+F598+F694+F708+F725+F787+#REF!+F877+F887</f>
        <v>#REF!</v>
      </c>
      <c r="H1047" s="78"/>
      <c r="I1047" s="762"/>
    </row>
    <row r="1048" spans="1:9" ht="12.75">
      <c r="A1048" s="1070" t="s">
        <v>38</v>
      </c>
      <c r="B1048" s="77">
        <f>(225)/1000*0.03</f>
        <v>0.00675</v>
      </c>
      <c r="C1048" s="77">
        <f>225/1000*0.04</f>
        <v>0.009000000000000001</v>
      </c>
      <c r="D1048" s="78">
        <f>225/1000*45</f>
        <v>10.125</v>
      </c>
      <c r="E1048" s="78">
        <f>225/1000*48</f>
        <v>10.8</v>
      </c>
      <c r="F1048" s="78">
        <f>225/1000*0.6</f>
        <v>0.13500000000000004</v>
      </c>
      <c r="G1048" s="78" t="e">
        <f>F34+F235+F514+#REF!+F876</f>
        <v>#REF!</v>
      </c>
      <c r="H1048" s="78"/>
      <c r="I1048" s="762"/>
    </row>
    <row r="1049" spans="1:9" ht="12.75">
      <c r="A1049" s="1070" t="s">
        <v>133</v>
      </c>
      <c r="B1049" s="77">
        <f>25/1000*0.03</f>
        <v>0.00075</v>
      </c>
      <c r="C1049" s="77">
        <f>25/1000*0.02</f>
        <v>0.0005</v>
      </c>
      <c r="D1049" s="78">
        <f>25/1000*10</f>
        <v>0.25</v>
      </c>
      <c r="E1049" s="78">
        <f>25/1000*16</f>
        <v>0.4</v>
      </c>
      <c r="F1049" s="78">
        <f>25/1000*2.2</f>
        <v>0.05500000000000001</v>
      </c>
      <c r="G1049" s="78">
        <f>F65+F647</f>
        <v>12</v>
      </c>
      <c r="H1049" s="78"/>
      <c r="I1049" s="762"/>
    </row>
    <row r="1050" spans="1:9" ht="12.75">
      <c r="A1050" s="1070" t="s">
        <v>225</v>
      </c>
      <c r="B1050" s="77">
        <f>90/1000*0.02</f>
        <v>0.0018</v>
      </c>
      <c r="C1050" s="77">
        <f>90/1000*0.03</f>
        <v>0.0026999999999999997</v>
      </c>
      <c r="D1050" s="77">
        <f>90/1000*0.1</f>
        <v>0.009</v>
      </c>
      <c r="E1050" s="78">
        <f>90/1000*5</f>
        <v>0.44999999999999996</v>
      </c>
      <c r="F1050" s="78">
        <f>90/1000*2.3</f>
        <v>0.207</v>
      </c>
      <c r="G1050" s="78">
        <f>F453</f>
        <v>100</v>
      </c>
      <c r="H1050" s="78"/>
      <c r="I1050" s="762"/>
    </row>
    <row r="1051" spans="1:9" ht="12.75">
      <c r="A1051" s="1070" t="s">
        <v>226</v>
      </c>
      <c r="B1051" s="77"/>
      <c r="C1051" s="77"/>
      <c r="D1051" s="78"/>
      <c r="E1051" s="78"/>
      <c r="F1051" s="78"/>
      <c r="G1051" s="78">
        <f>F542</f>
        <v>0</v>
      </c>
      <c r="H1051" s="78"/>
      <c r="I1051" s="762"/>
    </row>
    <row r="1052" spans="1:9" ht="12.75">
      <c r="A1052" s="1070" t="s">
        <v>227</v>
      </c>
      <c r="B1052" s="77"/>
      <c r="C1052" s="77"/>
      <c r="D1052" s="78"/>
      <c r="E1052" s="78"/>
      <c r="F1052" s="78"/>
      <c r="G1052" s="78">
        <f>F913+F307</f>
        <v>100</v>
      </c>
      <c r="H1052" s="78"/>
      <c r="I1052" s="762"/>
    </row>
    <row r="1053" spans="1:9" ht="12.75">
      <c r="A1053" s="1070" t="s">
        <v>17</v>
      </c>
      <c r="B1053" s="77"/>
      <c r="C1053" s="77"/>
      <c r="D1053" s="78"/>
      <c r="E1053" s="78"/>
      <c r="F1053" s="78">
        <f>L968*0.3</f>
        <v>0.1401</v>
      </c>
      <c r="G1053" s="78"/>
      <c r="H1053" s="78"/>
      <c r="I1053" s="762"/>
    </row>
    <row r="1054" spans="1:9" ht="12.75">
      <c r="A1054" s="1070" t="s">
        <v>37</v>
      </c>
      <c r="B1054" s="77"/>
      <c r="C1054" s="77"/>
      <c r="D1054" s="78"/>
      <c r="E1054" s="78"/>
      <c r="F1054" s="78"/>
      <c r="G1054" s="78"/>
      <c r="H1054" s="78"/>
      <c r="I1054" s="762"/>
    </row>
    <row r="1055" spans="1:9" ht="12.75">
      <c r="A1055" s="1070" t="s">
        <v>16</v>
      </c>
      <c r="B1055" s="77"/>
      <c r="C1055" s="77">
        <f>L970*0.1</f>
        <v>0.017900000000000003</v>
      </c>
      <c r="D1055" s="78"/>
      <c r="E1055" s="78">
        <f>L970*12</f>
        <v>2.148</v>
      </c>
      <c r="F1055" s="78">
        <f>L970*0.2</f>
        <v>0.035800000000000005</v>
      </c>
      <c r="G1055" s="78"/>
      <c r="H1055" s="78"/>
      <c r="I1055" s="762"/>
    </row>
    <row r="1056" spans="1:9" ht="12.75">
      <c r="A1056" s="1070" t="s">
        <v>46</v>
      </c>
      <c r="B1056" s="77">
        <f>L971*0.07</f>
        <v>0.013930000000000003</v>
      </c>
      <c r="C1056" s="77">
        <f>0.44*L971</f>
        <v>0.08756000000000001</v>
      </c>
      <c r="D1056" s="78"/>
      <c r="E1056" s="78">
        <f>L971*55</f>
        <v>10.945000000000002</v>
      </c>
      <c r="F1056" s="78">
        <f>L971*2.5</f>
        <v>0.4975000000000001</v>
      </c>
      <c r="G1056" s="78"/>
      <c r="H1056" s="78"/>
      <c r="I1056" s="762"/>
    </row>
    <row r="1057" spans="1:9" ht="12.75">
      <c r="A1057" s="1070" t="s">
        <v>211</v>
      </c>
      <c r="B1057" s="77">
        <f>3.56*0.04</f>
        <v>0.1424</v>
      </c>
      <c r="C1057" s="77">
        <f>3.56*0.15</f>
        <v>0.534</v>
      </c>
      <c r="D1057" s="78">
        <f>3.56*1.3</f>
        <v>4.628</v>
      </c>
      <c r="E1057" s="78">
        <f>120*3.56</f>
        <v>427.2</v>
      </c>
      <c r="F1057" s="78">
        <f>0.1*3.56</f>
        <v>0.35600000000000004</v>
      </c>
      <c r="G1057" s="78"/>
      <c r="H1057" s="78"/>
      <c r="I1057" s="762"/>
    </row>
    <row r="1058" spans="1:9" ht="12.75">
      <c r="A1058" s="1070" t="s">
        <v>212</v>
      </c>
      <c r="B1058" s="77">
        <f>0.14*0.04</f>
        <v>0.005600000000000001</v>
      </c>
      <c r="C1058" s="77">
        <f>0.14*0.15</f>
        <v>0.021</v>
      </c>
      <c r="D1058" s="78">
        <f>0.14*1</f>
        <v>0.14</v>
      </c>
      <c r="E1058" s="78">
        <f>0.14*307</f>
        <v>42.980000000000004</v>
      </c>
      <c r="F1058" s="78">
        <f>0.14*0.2</f>
        <v>0.028000000000000004</v>
      </c>
      <c r="G1058" s="78"/>
      <c r="H1058" s="78"/>
      <c r="I1058" s="762"/>
    </row>
    <row r="1059" spans="1:9" ht="12.75">
      <c r="A1059" s="1070" t="s">
        <v>84</v>
      </c>
      <c r="B1059" s="77">
        <f>0.4*0.05</f>
        <v>0.020000000000000004</v>
      </c>
      <c r="C1059" s="77">
        <f>0.4*0.3</f>
        <v>0.12000000000000002</v>
      </c>
      <c r="D1059" s="78">
        <f>0.4*0.5</f>
        <v>0.2</v>
      </c>
      <c r="E1059" s="78">
        <f>0.4*150</f>
        <v>60</v>
      </c>
      <c r="F1059" s="78">
        <f>0.4*0.5</f>
        <v>0.2</v>
      </c>
      <c r="G1059" s="78"/>
      <c r="H1059" s="78"/>
      <c r="I1059" s="762"/>
    </row>
    <row r="1060" spans="1:9" ht="12.75">
      <c r="A1060" s="1070" t="s">
        <v>36</v>
      </c>
      <c r="B1060" s="77">
        <f>0.33*0.06</f>
        <v>0.0198</v>
      </c>
      <c r="C1060" s="77">
        <f>0.33*0.15</f>
        <v>0.0495</v>
      </c>
      <c r="D1060" s="78"/>
      <c r="E1060" s="78">
        <f>0.33*9</f>
        <v>2.97</v>
      </c>
      <c r="F1060" s="78">
        <f>0.33*2.7</f>
        <v>0.8910000000000001</v>
      </c>
      <c r="G1060" s="78"/>
      <c r="H1060" s="78"/>
      <c r="I1060" s="762"/>
    </row>
    <row r="1061" spans="1:9" ht="12.75">
      <c r="A1061" s="1070" t="s">
        <v>213</v>
      </c>
      <c r="B1061" s="77">
        <f>0.312*0.07</f>
        <v>0.021840000000000002</v>
      </c>
      <c r="C1061" s="78">
        <f>0.312*0.15</f>
        <v>0.0468</v>
      </c>
      <c r="D1061" s="78">
        <f>0.312*1.8</f>
        <v>0.5616</v>
      </c>
      <c r="E1061" s="78">
        <f>0.312*18</f>
        <v>5.616</v>
      </c>
      <c r="F1061" s="78">
        <f>1.6*0.312</f>
        <v>0.49920000000000003</v>
      </c>
      <c r="G1061" s="78"/>
      <c r="H1061" s="78"/>
      <c r="I1061" s="762"/>
    </row>
    <row r="1062" spans="1:9" ht="12.75">
      <c r="A1062" s="1070" t="s">
        <v>107</v>
      </c>
      <c r="B1062" s="77">
        <f>L978*0.09</f>
        <v>0.0252</v>
      </c>
      <c r="C1062" s="78">
        <f>L977*0.15</f>
        <v>0</v>
      </c>
      <c r="D1062" s="78">
        <f>L977*0.8</f>
        <v>0</v>
      </c>
      <c r="E1062" s="78">
        <f>L977*20</f>
        <v>0</v>
      </c>
      <c r="F1062" s="78">
        <f>L977*0.7</f>
        <v>0</v>
      </c>
      <c r="G1062" s="78"/>
      <c r="H1062" s="78"/>
      <c r="I1062" s="762"/>
    </row>
    <row r="1063" spans="1:9" ht="12.75">
      <c r="A1063" s="1070" t="s">
        <v>72</v>
      </c>
      <c r="B1063" s="77">
        <f>L979*0.03</f>
        <v>0.0025499999999999997</v>
      </c>
      <c r="C1063" s="78">
        <f>L979*0.11</f>
        <v>0.009349999999999999</v>
      </c>
      <c r="D1063" s="78">
        <f>L979*0.3</f>
        <v>0.025500000000000002</v>
      </c>
      <c r="E1063" s="78">
        <f>L979*86</f>
        <v>7.31</v>
      </c>
      <c r="F1063" s="78">
        <f>L979*0.2</f>
        <v>0.016999999999999998</v>
      </c>
      <c r="G1063" s="78"/>
      <c r="H1063" s="78"/>
      <c r="I1063" s="762"/>
    </row>
    <row r="1064" spans="1:9" ht="12.75">
      <c r="A1064" s="1070" t="s">
        <v>228</v>
      </c>
      <c r="B1064" s="77">
        <f>F120/1000*0.02</f>
        <v>0</v>
      </c>
      <c r="C1064" s="78">
        <f>F120/1000*0.13</f>
        <v>0</v>
      </c>
      <c r="D1064" s="78">
        <f>F120/1000*0.3</f>
        <v>0</v>
      </c>
      <c r="E1064" s="78">
        <f>F120/1000*124</f>
        <v>0</v>
      </c>
      <c r="F1064" s="78">
        <f>F120/1000*0.1</f>
        <v>0</v>
      </c>
      <c r="G1064" s="78"/>
      <c r="H1064" s="78">
        <f>F120</f>
        <v>0</v>
      </c>
      <c r="I1064" s="762"/>
    </row>
    <row r="1065" spans="1:9" ht="12.75">
      <c r="A1065" s="1070" t="s">
        <v>89</v>
      </c>
      <c r="B1065" s="77">
        <f>F681/1000*0.03</f>
        <v>0.003</v>
      </c>
      <c r="C1065" s="78">
        <f>F681/1000*0.17</f>
        <v>0.017</v>
      </c>
      <c r="D1065" s="78">
        <f>F681/1000*0.7</f>
        <v>0.07</v>
      </c>
      <c r="E1065" s="78">
        <f>F681/1000*120</f>
        <v>12</v>
      </c>
      <c r="F1065" s="78">
        <f>F681/1000*0.1</f>
        <v>0.010000000000000002</v>
      </c>
      <c r="G1065" s="78"/>
      <c r="H1065" s="78"/>
      <c r="I1065" s="762"/>
    </row>
    <row r="1066" spans="1:9" ht="12.75">
      <c r="A1066" s="1070" t="s">
        <v>229</v>
      </c>
      <c r="B1066" s="77">
        <f>0.24*0.03</f>
        <v>0.0072</v>
      </c>
      <c r="C1066" s="78">
        <f>0.194*0.15</f>
        <v>0.0291</v>
      </c>
      <c r="D1066" s="78">
        <f>0.194*0.6</f>
        <v>0.11640000000000002</v>
      </c>
      <c r="E1066" s="78">
        <f>0.194*119</f>
        <v>23.086000000000002</v>
      </c>
      <c r="F1066" s="78">
        <f>0.194*0.1</f>
        <v>0.0194</v>
      </c>
      <c r="G1066" s="78"/>
      <c r="H1066" s="78">
        <v>120</v>
      </c>
      <c r="I1066" s="762"/>
    </row>
    <row r="1067" spans="1:13" ht="12.75">
      <c r="A1067" s="1070" t="s">
        <v>65</v>
      </c>
      <c r="B1067" s="96">
        <f>L985*0.3</f>
        <v>0.015000000000000003</v>
      </c>
      <c r="C1067" s="337">
        <f>L985*0.36</f>
        <v>0.018</v>
      </c>
      <c r="D1067" s="337">
        <f>L985*0.7</f>
        <v>0.035</v>
      </c>
      <c r="E1067" s="337">
        <f>L985*900</f>
        <v>45</v>
      </c>
      <c r="F1067" s="337">
        <f>L985*0.9</f>
        <v>0.045000000000000005</v>
      </c>
      <c r="G1067" s="98"/>
      <c r="H1067" s="96"/>
      <c r="I1067" s="1371"/>
      <c r="J1067" s="345"/>
      <c r="K1067" s="345"/>
      <c r="L1067" s="345"/>
      <c r="M1067" s="345"/>
    </row>
    <row r="1068" spans="1:13" ht="15.75" thickBot="1">
      <c r="A1068" s="1070" t="s">
        <v>78</v>
      </c>
      <c r="B1068" s="1372">
        <f>0.019*0.15</f>
        <v>0.0028499999999999997</v>
      </c>
      <c r="C1068" s="1372">
        <f>0.019*0.17</f>
        <v>0.0032300000000000002</v>
      </c>
      <c r="D1068" s="337">
        <f>0.019*45</f>
        <v>0.855</v>
      </c>
      <c r="E1068" s="337">
        <f>0.019*20</f>
        <v>0.38</v>
      </c>
      <c r="F1068" s="337">
        <f>0.019*2.3</f>
        <v>0.043699999999999996</v>
      </c>
      <c r="G1068" s="98"/>
      <c r="H1068" s="98"/>
      <c r="I1068" s="1373"/>
      <c r="J1068" s="276"/>
      <c r="K1068" s="276"/>
      <c r="L1068" s="276"/>
      <c r="M1068" s="345"/>
    </row>
    <row r="1069" spans="1:13" ht="13.5" thickBot="1">
      <c r="A1069" s="1374" t="s">
        <v>230</v>
      </c>
      <c r="B1069" s="1374" t="e">
        <f>(SUM(B1034:B1068))/10</f>
        <v>#REF!</v>
      </c>
      <c r="C1069" s="1374" t="e">
        <f>(SUM(C1034:C1068))/10</f>
        <v>#REF!</v>
      </c>
      <c r="D1069" s="1374">
        <f>(SUM(D1034:D1068))/10</f>
        <v>3.0182499999999997</v>
      </c>
      <c r="E1069" s="1374" t="e">
        <f>(SUM(E1034:E1068))/10</f>
        <v>#REF!</v>
      </c>
      <c r="F1069" s="1374" t="e">
        <f>(SUM(F1034:F1068))/10</f>
        <v>#REF!</v>
      </c>
      <c r="G1069" s="1375"/>
      <c r="H1069" s="1376"/>
      <c r="I1069" s="1374"/>
      <c r="J1069" s="317"/>
      <c r="K1069" s="317"/>
      <c r="L1069" s="317"/>
      <c r="M1069" s="345"/>
    </row>
    <row r="1070" spans="1:13" ht="12.75">
      <c r="A1070" s="264"/>
      <c r="B1070" s="266"/>
      <c r="C1070" s="266"/>
      <c r="D1070" s="313"/>
      <c r="E1070" s="315"/>
      <c r="F1070" s="266"/>
      <c r="G1070" s="267"/>
      <c r="H1070" s="288"/>
      <c r="I1070" s="266"/>
      <c r="J1070" s="268"/>
      <c r="K1070" s="266"/>
      <c r="L1070" s="269"/>
      <c r="M1070" s="345"/>
    </row>
    <row r="1071" spans="1:13" ht="12.75">
      <c r="A1071" s="264"/>
      <c r="B1071" s="264"/>
      <c r="C1071" s="266"/>
      <c r="D1071" s="266"/>
      <c r="E1071" s="315"/>
      <c r="F1071" s="266"/>
      <c r="G1071" s="267"/>
      <c r="H1071" s="288"/>
      <c r="I1071" s="233"/>
      <c r="J1071" s="233"/>
      <c r="K1071" s="233"/>
      <c r="L1071" s="233"/>
      <c r="M1071" s="345"/>
    </row>
  </sheetData>
  <sheetProtection selectLockedCells="1" selectUnlockedCells="1"/>
  <mergeCells count="175">
    <mergeCell ref="I937:J938"/>
    <mergeCell ref="A910:C910"/>
    <mergeCell ref="A916:C916"/>
    <mergeCell ref="B937:B938"/>
    <mergeCell ref="C937:D938"/>
    <mergeCell ref="E937:F938"/>
    <mergeCell ref="G937:H938"/>
    <mergeCell ref="A865:C865"/>
    <mergeCell ref="A871:C871"/>
    <mergeCell ref="A880:C880"/>
    <mergeCell ref="A893:C893"/>
    <mergeCell ref="A896:C896"/>
    <mergeCell ref="A902:C902"/>
    <mergeCell ref="A845:C846"/>
    <mergeCell ref="A848:C848"/>
    <mergeCell ref="A853:C853"/>
    <mergeCell ref="A857:C857"/>
    <mergeCell ref="A863:C863"/>
    <mergeCell ref="A864:C864"/>
    <mergeCell ref="A802:C802"/>
    <mergeCell ref="A805:C805"/>
    <mergeCell ref="A806:C806"/>
    <mergeCell ref="A812:C812"/>
    <mergeCell ref="A823:C823"/>
    <mergeCell ref="A831:D831"/>
    <mergeCell ref="A766:C766"/>
    <mergeCell ref="A767:C767"/>
    <mergeCell ref="A774:C774"/>
    <mergeCell ref="A782:C782"/>
    <mergeCell ref="A791:C791"/>
    <mergeCell ref="A798:C798"/>
    <mergeCell ref="A721:C721"/>
    <mergeCell ref="A735:C735"/>
    <mergeCell ref="A752:C753"/>
    <mergeCell ref="A756:C756"/>
    <mergeCell ref="A762:C762"/>
    <mergeCell ref="A763:C763"/>
    <mergeCell ref="O689:Q689"/>
    <mergeCell ref="A696:C696"/>
    <mergeCell ref="A703:C703"/>
    <mergeCell ref="A712:C712"/>
    <mergeCell ref="A715:C715"/>
    <mergeCell ref="A716:C716"/>
    <mergeCell ref="A671:C671"/>
    <mergeCell ref="A675:C675"/>
    <mergeCell ref="A680:C680"/>
    <mergeCell ref="A681:C681"/>
    <mergeCell ref="A682:C682"/>
    <mergeCell ref="A688:C688"/>
    <mergeCell ref="A644:C644"/>
    <mergeCell ref="A645:C645"/>
    <mergeCell ref="A659:C660"/>
    <mergeCell ref="A662:C662"/>
    <mergeCell ref="A667:C667"/>
    <mergeCell ref="A668:C668"/>
    <mergeCell ref="A624:C624"/>
    <mergeCell ref="A629:C629"/>
    <mergeCell ref="A640:C640"/>
    <mergeCell ref="A641:C641"/>
    <mergeCell ref="A642:C642"/>
    <mergeCell ref="A643:C643"/>
    <mergeCell ref="A593:C593"/>
    <mergeCell ref="A603:C603"/>
    <mergeCell ref="A616:C616"/>
    <mergeCell ref="A619:C619"/>
    <mergeCell ref="A622:C622"/>
    <mergeCell ref="A623:C623"/>
    <mergeCell ref="A574:C574"/>
    <mergeCell ref="A578:C578"/>
    <mergeCell ref="A579:C579"/>
    <mergeCell ref="A585:C585"/>
    <mergeCell ref="A586:C586"/>
    <mergeCell ref="A587:C587"/>
    <mergeCell ref="A531:C531"/>
    <mergeCell ref="A539:C539"/>
    <mergeCell ref="A540:C540"/>
    <mergeCell ref="A565:C566"/>
    <mergeCell ref="H566:J566"/>
    <mergeCell ref="A569:C569"/>
    <mergeCell ref="A493:C493"/>
    <mergeCell ref="A494:C494"/>
    <mergeCell ref="A495:C495"/>
    <mergeCell ref="A500:C500"/>
    <mergeCell ref="A510:C510"/>
    <mergeCell ref="A520:C520"/>
    <mergeCell ref="A474:C475"/>
    <mergeCell ref="A478:C478"/>
    <mergeCell ref="A483:C483"/>
    <mergeCell ref="A487:C487"/>
    <mergeCell ref="A488:D488"/>
    <mergeCell ref="A491:D491"/>
    <mergeCell ref="A417:C417"/>
    <mergeCell ref="A430:C430"/>
    <mergeCell ref="A433:C433"/>
    <mergeCell ref="A434:C434"/>
    <mergeCell ref="A441:C441"/>
    <mergeCell ref="A450:C450"/>
    <mergeCell ref="A390:C390"/>
    <mergeCell ref="A394:C394"/>
    <mergeCell ref="A403:C403"/>
    <mergeCell ref="A404:C404"/>
    <mergeCell ref="A405:C405"/>
    <mergeCell ref="A411:C411"/>
    <mergeCell ref="A335:C335"/>
    <mergeCell ref="A336:C336"/>
    <mergeCell ref="A342:C342"/>
    <mergeCell ref="A353:C353"/>
    <mergeCell ref="A381:C382"/>
    <mergeCell ref="A385:C385"/>
    <mergeCell ref="A307:C307"/>
    <mergeCell ref="A308:C308"/>
    <mergeCell ref="A311:C311"/>
    <mergeCell ref="A319:C319"/>
    <mergeCell ref="A327:C327"/>
    <mergeCell ref="A331:C331"/>
    <mergeCell ref="A286:C287"/>
    <mergeCell ref="A290:C290"/>
    <mergeCell ref="A295:C295"/>
    <mergeCell ref="A298:C298"/>
    <mergeCell ref="A299:C299"/>
    <mergeCell ref="A306:C306"/>
    <mergeCell ref="A243:C243"/>
    <mergeCell ref="A244:C244"/>
    <mergeCell ref="A250:C250"/>
    <mergeCell ref="A264:C264"/>
    <mergeCell ref="A265:C265"/>
    <mergeCell ref="A266:C266"/>
    <mergeCell ref="A210:C210"/>
    <mergeCell ref="A211:C211"/>
    <mergeCell ref="A215:C215"/>
    <mergeCell ref="A226:C226"/>
    <mergeCell ref="A237:C237"/>
    <mergeCell ref="A240:C240"/>
    <mergeCell ref="A193:C193"/>
    <mergeCell ref="A198:C198"/>
    <mergeCell ref="A202:C202"/>
    <mergeCell ref="A203:C203"/>
    <mergeCell ref="A205:C205"/>
    <mergeCell ref="A209:C209"/>
    <mergeCell ref="A154:C154"/>
    <mergeCell ref="A160:C160"/>
    <mergeCell ref="N160:P160"/>
    <mergeCell ref="A171:C171"/>
    <mergeCell ref="J188:L188"/>
    <mergeCell ref="A190:C191"/>
    <mergeCell ref="A126:C126"/>
    <mergeCell ref="A127:C127"/>
    <mergeCell ref="A135:C135"/>
    <mergeCell ref="A147:C147"/>
    <mergeCell ref="A150:C150"/>
    <mergeCell ref="A153:C153"/>
    <mergeCell ref="A103:C103"/>
    <mergeCell ref="A108:C108"/>
    <mergeCell ref="A112:C112"/>
    <mergeCell ref="A119:C119"/>
    <mergeCell ref="A120:C120"/>
    <mergeCell ref="A121:C121"/>
    <mergeCell ref="A48:C48"/>
    <mergeCell ref="A49:C49"/>
    <mergeCell ref="A63:C63"/>
    <mergeCell ref="A64:C64"/>
    <mergeCell ref="J97:L97"/>
    <mergeCell ref="A99:C100"/>
    <mergeCell ref="A19:C19"/>
    <mergeCell ref="A23:C23"/>
    <mergeCell ref="A24:C24"/>
    <mergeCell ref="A30:C30"/>
    <mergeCell ref="A38:C38"/>
    <mergeCell ref="A45:C45"/>
    <mergeCell ref="A3:C4"/>
    <mergeCell ref="A7:C7"/>
    <mergeCell ref="A12:C12"/>
    <mergeCell ref="A16:C16"/>
    <mergeCell ref="A17:D17"/>
    <mergeCell ref="A18:C18"/>
  </mergeCells>
  <printOptions/>
  <pageMargins left="0.7875" right="0.7875" top="0.7875" bottom="0.7875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76"/>
  <sheetViews>
    <sheetView tabSelected="1" zoomScalePageLayoutView="0" workbookViewId="0" topLeftCell="A409">
      <selection activeCell="H368" sqref="H368"/>
    </sheetView>
  </sheetViews>
  <sheetFormatPr defaultColWidth="11.57421875" defaultRowHeight="12.75"/>
  <cols>
    <col min="1" max="1" width="16.8515625" style="0" customWidth="1"/>
    <col min="2" max="2" width="11.57421875" style="0" customWidth="1"/>
    <col min="3" max="3" width="8.421875" style="0" customWidth="1"/>
    <col min="4" max="4" width="8.28125" style="0" customWidth="1"/>
    <col min="5" max="5" width="7.7109375" style="0" customWidth="1"/>
    <col min="6" max="7" width="8.140625" style="0" customWidth="1"/>
    <col min="8" max="8" width="12.7109375" style="0" customWidth="1"/>
    <col min="9" max="9" width="9.140625" style="0" customWidth="1"/>
    <col min="10" max="10" width="10.00390625" style="0" customWidth="1"/>
    <col min="11" max="12" width="9.140625" style="0" customWidth="1"/>
    <col min="13" max="13" width="10.7109375" style="0" customWidth="1"/>
  </cols>
  <sheetData>
    <row r="1" spans="1:14" ht="15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L1" s="4"/>
      <c r="M1" s="1"/>
      <c r="N1" s="1"/>
    </row>
    <row r="2" spans="4:12" ht="12.75">
      <c r="D2" s="1" t="s">
        <v>231</v>
      </c>
      <c r="G2" s="5"/>
      <c r="H2" s="5"/>
      <c r="J2" s="4"/>
      <c r="L2" s="4"/>
    </row>
    <row r="3" spans="1:12" ht="25.5">
      <c r="A3" s="1772" t="s">
        <v>2</v>
      </c>
      <c r="B3" s="1772"/>
      <c r="C3" s="1772"/>
      <c r="D3" s="6" t="s">
        <v>3</v>
      </c>
      <c r="E3" s="7" t="s">
        <v>4</v>
      </c>
      <c r="F3" s="7" t="s">
        <v>5</v>
      </c>
      <c r="G3" s="8" t="s">
        <v>6</v>
      </c>
      <c r="H3" s="9" t="s">
        <v>7</v>
      </c>
      <c r="I3" s="7" t="s">
        <v>8</v>
      </c>
      <c r="J3" s="7" t="s">
        <v>9</v>
      </c>
      <c r="K3" s="10" t="s">
        <v>10</v>
      </c>
      <c r="L3" s="7" t="s">
        <v>11</v>
      </c>
    </row>
    <row r="4" spans="1:12" ht="12.75">
      <c r="A4" s="1772"/>
      <c r="B4" s="1772"/>
      <c r="C4" s="1772"/>
      <c r="D4" s="11"/>
      <c r="E4" s="12"/>
      <c r="F4" s="12"/>
      <c r="G4" s="13"/>
      <c r="H4" s="13"/>
      <c r="I4" s="12" t="s">
        <v>12</v>
      </c>
      <c r="J4" s="12"/>
      <c r="K4" s="12"/>
      <c r="L4" s="14"/>
    </row>
    <row r="5" spans="1:12" ht="12.75">
      <c r="A5" s="15"/>
      <c r="B5" s="15"/>
      <c r="C5" s="15"/>
      <c r="D5" s="15"/>
      <c r="E5" s="16"/>
      <c r="F5" s="16"/>
      <c r="G5" s="17"/>
      <c r="H5" s="17"/>
      <c r="I5" s="16"/>
      <c r="J5" s="16"/>
      <c r="K5" s="16"/>
      <c r="L5" s="16"/>
    </row>
    <row r="6" spans="1:12" ht="15">
      <c r="A6" s="18" t="s">
        <v>13</v>
      </c>
      <c r="B6" s="19"/>
      <c r="C6" s="19"/>
      <c r="D6" s="19"/>
      <c r="E6" s="19"/>
      <c r="F6" s="19"/>
      <c r="G6" s="17"/>
      <c r="H6" s="17"/>
      <c r="I6" s="16"/>
      <c r="J6" s="16"/>
      <c r="K6" s="19"/>
      <c r="L6" s="16"/>
    </row>
    <row r="7" spans="1:12" ht="12.75">
      <c r="A7" s="1776" t="s">
        <v>232</v>
      </c>
      <c r="B7" s="1776"/>
      <c r="C7" s="1776"/>
      <c r="D7" s="103">
        <v>150</v>
      </c>
      <c r="E7" s="331"/>
      <c r="F7" s="331"/>
      <c r="G7" s="105"/>
      <c r="H7" s="106">
        <f>H8+H9+H10+H11</f>
        <v>12.194999999999999</v>
      </c>
      <c r="I7" s="107">
        <f>SUM(I8:I11)</f>
        <v>5.655</v>
      </c>
      <c r="J7" s="107">
        <f>SUM(J8:J11)</f>
        <v>7.08</v>
      </c>
      <c r="K7" s="107">
        <f>SUM(K8:K11)</f>
        <v>18.56</v>
      </c>
      <c r="L7" s="108">
        <f>SUM(L8:L11)</f>
        <v>169.25</v>
      </c>
    </row>
    <row r="8" spans="1:12" ht="12.75">
      <c r="A8" s="1037" t="s">
        <v>18</v>
      </c>
      <c r="B8" s="266"/>
      <c r="C8" s="266"/>
      <c r="D8" s="1377"/>
      <c r="E8" s="1039">
        <v>0.13</v>
      </c>
      <c r="F8" s="1040">
        <v>130</v>
      </c>
      <c r="G8" s="1041">
        <v>72</v>
      </c>
      <c r="H8" s="1378">
        <f>E8*G8</f>
        <v>9.36</v>
      </c>
      <c r="I8" s="643">
        <f>(2.9*F8)/100</f>
        <v>3.77</v>
      </c>
      <c r="J8" s="643">
        <f>(F8*2.5)/100</f>
        <v>3.25</v>
      </c>
      <c r="K8" s="643">
        <f>(4.8*F8)/100</f>
        <v>6.24</v>
      </c>
      <c r="L8" s="644">
        <f>(F8*60)/100</f>
        <v>78</v>
      </c>
    </row>
    <row r="9" spans="1:12" ht="12.75">
      <c r="A9" s="429" t="s">
        <v>16</v>
      </c>
      <c r="B9" s="430"/>
      <c r="C9" s="430"/>
      <c r="D9" s="1379"/>
      <c r="E9" s="562">
        <v>0.004</v>
      </c>
      <c r="F9" s="505">
        <v>4</v>
      </c>
      <c r="G9" s="214">
        <v>300</v>
      </c>
      <c r="H9" s="33">
        <f>E9*G9</f>
        <v>1.2</v>
      </c>
      <c r="I9" s="45">
        <f>(F9*1)/100</f>
        <v>0.04</v>
      </c>
      <c r="J9" s="45">
        <f>(F9*72.5)/100</f>
        <v>2.9</v>
      </c>
      <c r="K9" s="45">
        <f>(F9*1.4)/100</f>
        <v>0.055999999999999994</v>
      </c>
      <c r="L9" s="46">
        <f>(F9*662)/100</f>
        <v>26.48</v>
      </c>
    </row>
    <row r="10" spans="1:12" ht="12.75">
      <c r="A10" s="340" t="s">
        <v>15</v>
      </c>
      <c r="B10" s="341"/>
      <c r="C10" s="341"/>
      <c r="D10" s="517"/>
      <c r="E10" s="77">
        <v>0.015</v>
      </c>
      <c r="F10" s="78">
        <v>15</v>
      </c>
      <c r="G10" s="79">
        <v>91</v>
      </c>
      <c r="H10" s="290">
        <f>G10*E10</f>
        <v>1.365</v>
      </c>
      <c r="I10" s="204">
        <f>(12.3*F10)/100</f>
        <v>1.845</v>
      </c>
      <c r="J10" s="204">
        <f>(6.2*F10)/100</f>
        <v>0.93</v>
      </c>
      <c r="K10" s="204">
        <f>(61.8*F10)/100</f>
        <v>9.27</v>
      </c>
      <c r="L10" s="205">
        <f>(352*F10)/100</f>
        <v>52.8</v>
      </c>
    </row>
    <row r="11" spans="1:12" ht="12.75">
      <c r="A11" s="437" t="s">
        <v>17</v>
      </c>
      <c r="B11" s="438"/>
      <c r="C11" s="439"/>
      <c r="D11" s="440"/>
      <c r="E11" s="441">
        <v>0.003</v>
      </c>
      <c r="F11" s="442">
        <v>3</v>
      </c>
      <c r="G11" s="443">
        <v>90</v>
      </c>
      <c r="H11" s="444">
        <f>E11*G11</f>
        <v>0.27</v>
      </c>
      <c r="I11" s="358"/>
      <c r="J11" s="358"/>
      <c r="K11" s="358">
        <f>(F11*99.8)/100</f>
        <v>2.9939999999999998</v>
      </c>
      <c r="L11" s="359">
        <f>(F11*399)/100</f>
        <v>11.97</v>
      </c>
    </row>
    <row r="12" spans="1:12" ht="12.75">
      <c r="A12" s="1773" t="s">
        <v>49</v>
      </c>
      <c r="B12" s="1773"/>
      <c r="C12" s="1773"/>
      <c r="D12" s="65">
        <v>150</v>
      </c>
      <c r="E12" s="66"/>
      <c r="F12" s="21"/>
      <c r="G12" s="22"/>
      <c r="H12" s="23">
        <f>H13+H14</f>
        <v>1.214</v>
      </c>
      <c r="I12" s="67">
        <f>I14</f>
        <v>0</v>
      </c>
      <c r="J12" s="67">
        <f>J14</f>
        <v>0</v>
      </c>
      <c r="K12" s="67">
        <f>K14</f>
        <v>10.978</v>
      </c>
      <c r="L12" s="67">
        <f>L14</f>
        <v>43.89</v>
      </c>
    </row>
    <row r="13" spans="1:12" ht="12.75">
      <c r="A13" s="68" t="s">
        <v>20</v>
      </c>
      <c r="B13" s="69"/>
      <c r="C13" s="70"/>
      <c r="D13" s="71"/>
      <c r="E13" s="72">
        <v>0.0005</v>
      </c>
      <c r="F13" s="73">
        <v>0.5</v>
      </c>
      <c r="G13" s="74">
        <v>448</v>
      </c>
      <c r="H13" s="74">
        <f>E13*G13</f>
        <v>0.224</v>
      </c>
      <c r="I13" s="75"/>
      <c r="J13" s="75"/>
      <c r="K13" s="75"/>
      <c r="L13" s="76"/>
    </row>
    <row r="14" spans="1:12" ht="12.75">
      <c r="A14" s="68" t="s">
        <v>17</v>
      </c>
      <c r="B14" s="69"/>
      <c r="C14" s="70"/>
      <c r="D14" s="71"/>
      <c r="E14" s="77">
        <v>0.011</v>
      </c>
      <c r="F14" s="78">
        <v>11</v>
      </c>
      <c r="G14" s="79">
        <v>90</v>
      </c>
      <c r="H14" s="79">
        <f>G14*E14</f>
        <v>0.99</v>
      </c>
      <c r="I14" s="80"/>
      <c r="J14" s="80"/>
      <c r="K14" s="80">
        <f>(F14*99.8)/100</f>
        <v>10.978</v>
      </c>
      <c r="L14" s="81">
        <f>(F14*399)/100</f>
        <v>43.89</v>
      </c>
    </row>
    <row r="15" spans="1:12" ht="12.75">
      <c r="A15" s="942" t="s">
        <v>21</v>
      </c>
      <c r="B15" s="1380"/>
      <c r="C15" s="90"/>
      <c r="D15" s="1381">
        <v>20</v>
      </c>
      <c r="E15" s="647"/>
      <c r="F15" s="648"/>
      <c r="G15" s="91"/>
      <c r="H15" s="1382">
        <f>H16+H17</f>
        <v>1.82</v>
      </c>
      <c r="I15" s="108">
        <v>1.55</v>
      </c>
      <c r="J15" s="108">
        <v>5.85</v>
      </c>
      <c r="K15" s="108">
        <v>14.95</v>
      </c>
      <c r="L15" s="108">
        <v>116.5</v>
      </c>
    </row>
    <row r="16" spans="1:12" ht="12.75" customHeight="1">
      <c r="A16" s="1820" t="s">
        <v>233</v>
      </c>
      <c r="B16" s="1820"/>
      <c r="C16" s="1820"/>
      <c r="D16" s="88"/>
      <c r="E16" s="89">
        <v>0.02</v>
      </c>
      <c r="F16" s="90">
        <v>20</v>
      </c>
      <c r="G16" s="1022">
        <v>91</v>
      </c>
      <c r="H16" s="1383">
        <f>E16*G16</f>
        <v>1.82</v>
      </c>
      <c r="I16" s="1019"/>
      <c r="J16" s="1019"/>
      <c r="K16" s="1019"/>
      <c r="L16" s="1020"/>
    </row>
    <row r="17" spans="1:12" ht="12.75" customHeight="1">
      <c r="A17" s="1821"/>
      <c r="B17" s="1821"/>
      <c r="C17" s="1821"/>
      <c r="D17" s="1821"/>
      <c r="E17" s="476"/>
      <c r="F17" s="477"/>
      <c r="G17" s="478"/>
      <c r="H17" s="1139"/>
      <c r="I17" s="1087"/>
      <c r="J17" s="1087"/>
      <c r="K17" s="1087"/>
      <c r="L17" s="1088"/>
    </row>
    <row r="18" spans="1:12" ht="15.75">
      <c r="A18" s="123"/>
      <c r="B18" s="124" t="s">
        <v>24</v>
      </c>
      <c r="C18" s="125"/>
      <c r="D18" s="126"/>
      <c r="E18" s="127"/>
      <c r="F18" s="126"/>
      <c r="G18" s="128"/>
      <c r="H18" s="128"/>
      <c r="I18" s="129">
        <f>I17+I16+I12+I7</f>
        <v>5.655</v>
      </c>
      <c r="J18" s="129">
        <f>J17+J16+J12+J7</f>
        <v>7.08</v>
      </c>
      <c r="K18" s="129">
        <f>K17+K16+K12+K7</f>
        <v>29.537999999999997</v>
      </c>
      <c r="L18" s="129">
        <f>L17+L16+L12+L7</f>
        <v>213.14</v>
      </c>
    </row>
    <row r="19" spans="1:12" ht="18">
      <c r="A19" s="1384"/>
      <c r="B19" s="1385" t="s">
        <v>234</v>
      </c>
      <c r="C19" s="1386"/>
      <c r="D19" s="1387"/>
      <c r="E19" s="1388"/>
      <c r="F19" s="1387"/>
      <c r="G19" s="1389"/>
      <c r="H19" s="1390">
        <f>H15+H12+H7</f>
        <v>15.229</v>
      </c>
      <c r="I19" s="1391"/>
      <c r="J19" s="1391"/>
      <c r="K19" s="1391"/>
      <c r="L19" s="1391"/>
    </row>
    <row r="20" spans="1:12" ht="15">
      <c r="A20" s="130" t="s">
        <v>25</v>
      </c>
      <c r="B20" s="131"/>
      <c r="C20" s="131"/>
      <c r="D20" s="16"/>
      <c r="E20" s="132"/>
      <c r="F20" s="16"/>
      <c r="G20" s="17"/>
      <c r="H20" s="17"/>
      <c r="I20" s="133"/>
      <c r="J20" s="133"/>
      <c r="K20" s="134"/>
      <c r="L20" s="134">
        <f>L18/1400</f>
        <v>0.15224285714285712</v>
      </c>
    </row>
    <row r="21" spans="1:12" ht="12.75">
      <c r="A21" s="1774" t="s">
        <v>26</v>
      </c>
      <c r="B21" s="1774"/>
      <c r="C21" s="1774"/>
      <c r="D21" s="135">
        <v>100</v>
      </c>
      <c r="E21" s="136"/>
      <c r="F21" s="136"/>
      <c r="G21" s="137"/>
      <c r="H21" s="138">
        <f>H22</f>
        <v>7</v>
      </c>
      <c r="I21" s="139"/>
      <c r="J21" s="139"/>
      <c r="K21" s="139"/>
      <c r="L21" s="140"/>
    </row>
    <row r="22" spans="1:12" ht="12.75">
      <c r="A22" s="1778" t="s">
        <v>26</v>
      </c>
      <c r="B22" s="1778"/>
      <c r="C22" s="1778"/>
      <c r="D22" s="141"/>
      <c r="E22" s="142">
        <v>0.1</v>
      </c>
      <c r="F22" s="143">
        <v>100</v>
      </c>
      <c r="G22" s="144">
        <v>70</v>
      </c>
      <c r="H22" s="145">
        <f>E22*G22</f>
        <v>7</v>
      </c>
      <c r="I22" s="143"/>
      <c r="J22" s="143"/>
      <c r="K22" s="143">
        <f>(10.1*F22)/100</f>
        <v>10.1</v>
      </c>
      <c r="L22" s="146">
        <f>(F22*46)/100</f>
        <v>46</v>
      </c>
    </row>
    <row r="23" spans="1:12" ht="12.75">
      <c r="A23" s="147"/>
      <c r="B23" s="131"/>
      <c r="C23" s="131"/>
      <c r="D23" s="16"/>
      <c r="E23" s="148"/>
      <c r="F23" s="149"/>
      <c r="G23" s="150"/>
      <c r="H23" s="151"/>
      <c r="I23" s="152"/>
      <c r="J23" s="152"/>
      <c r="K23" s="152"/>
      <c r="L23" s="153">
        <f>L22/1400</f>
        <v>0.032857142857142856</v>
      </c>
    </row>
    <row r="24" spans="1:12" ht="15.75">
      <c r="A24" s="154" t="s">
        <v>27</v>
      </c>
      <c r="B24" s="155"/>
      <c r="C24" s="156"/>
      <c r="D24" s="157"/>
      <c r="E24" s="157"/>
      <c r="F24" s="157"/>
      <c r="G24" s="158"/>
      <c r="H24" s="159">
        <f>H22</f>
        <v>7</v>
      </c>
      <c r="I24" s="160"/>
      <c r="J24" s="160"/>
      <c r="K24" s="160"/>
      <c r="L24" s="161"/>
    </row>
    <row r="25" spans="1:12" ht="15.75">
      <c r="A25" s="162" t="s">
        <v>24</v>
      </c>
      <c r="B25" s="163"/>
      <c r="C25" s="164"/>
      <c r="D25" s="165"/>
      <c r="E25" s="166"/>
      <c r="F25" s="166"/>
      <c r="G25" s="167"/>
      <c r="H25" s="168"/>
      <c r="I25" s="169">
        <f>I22+I18</f>
        <v>5.655</v>
      </c>
      <c r="J25" s="169">
        <f>J22+J18</f>
        <v>7.08</v>
      </c>
      <c r="K25" s="169">
        <f>K22+K18</f>
        <v>39.638</v>
      </c>
      <c r="L25" s="169">
        <f>L22+L18</f>
        <v>259.14</v>
      </c>
    </row>
    <row r="26" spans="1:12" ht="12.75">
      <c r="A26" s="170"/>
      <c r="B26" s="171"/>
      <c r="C26" s="171"/>
      <c r="D26" s="172"/>
      <c r="E26" s="172"/>
      <c r="F26" s="172"/>
      <c r="G26" s="173"/>
      <c r="H26" s="173"/>
      <c r="I26" s="174"/>
      <c r="J26" s="174"/>
      <c r="K26" s="174"/>
      <c r="L26" s="175"/>
    </row>
    <row r="27" spans="1:12" ht="15">
      <c r="A27" s="176" t="s">
        <v>28</v>
      </c>
      <c r="B27" s="177"/>
      <c r="C27" s="178"/>
      <c r="D27" s="179"/>
      <c r="E27" s="179"/>
      <c r="F27" s="179"/>
      <c r="G27" s="180"/>
      <c r="H27" s="180"/>
      <c r="I27" s="181"/>
      <c r="J27" s="181"/>
      <c r="K27" s="182"/>
      <c r="L27" s="183"/>
    </row>
    <row r="28" spans="1:26" ht="12.75">
      <c r="A28" s="1773" t="s">
        <v>29</v>
      </c>
      <c r="B28" s="1773"/>
      <c r="C28" s="1773"/>
      <c r="D28" s="181">
        <v>150</v>
      </c>
      <c r="E28" s="184"/>
      <c r="F28" s="185"/>
      <c r="G28" s="22"/>
      <c r="H28" s="23">
        <f>SUM(H29:H34)</f>
        <v>5.731</v>
      </c>
      <c r="I28" s="186">
        <f>I30+I31+I32+I33+I34</f>
        <v>1.5870000000000002</v>
      </c>
      <c r="J28" s="186">
        <f>J30+J31+J32+J33+J34</f>
        <v>1.6909999999999998</v>
      </c>
      <c r="K28" s="186">
        <f>K30+K31+K32+K33+K34</f>
        <v>11.624</v>
      </c>
      <c r="L28" s="186">
        <f>L30+L31+L32+L33+L34</f>
        <v>68.32</v>
      </c>
      <c r="O28" s="1113"/>
      <c r="P28" s="1113"/>
      <c r="Q28" s="1113"/>
      <c r="R28" s="314"/>
      <c r="S28" s="831"/>
      <c r="T28" s="831"/>
      <c r="U28" s="267"/>
      <c r="V28" s="316"/>
      <c r="W28" s="317"/>
      <c r="X28" s="317"/>
      <c r="Y28" s="317"/>
      <c r="Z28" s="317"/>
    </row>
    <row r="29" spans="1:26" ht="12.75">
      <c r="A29" s="187" t="s">
        <v>30</v>
      </c>
      <c r="B29" s="188"/>
      <c r="C29" s="188"/>
      <c r="D29" s="189"/>
      <c r="E29" s="190"/>
      <c r="F29" s="191"/>
      <c r="G29" s="192"/>
      <c r="H29" s="193"/>
      <c r="I29" s="194"/>
      <c r="J29" s="194"/>
      <c r="K29" s="194"/>
      <c r="L29" s="195"/>
      <c r="O29" s="221"/>
      <c r="P29" s="57"/>
      <c r="Q29" s="57"/>
      <c r="R29" s="207"/>
      <c r="S29" s="222"/>
      <c r="T29" s="223"/>
      <c r="U29" s="209"/>
      <c r="V29" s="224"/>
      <c r="W29" s="152"/>
      <c r="X29" s="152"/>
      <c r="Y29" s="152"/>
      <c r="Z29" s="152"/>
    </row>
    <row r="30" spans="1:26" ht="12.75">
      <c r="A30" s="196" t="s">
        <v>16</v>
      </c>
      <c r="B30" s="197"/>
      <c r="C30" s="197"/>
      <c r="D30" s="198"/>
      <c r="E30" s="199">
        <v>0.002</v>
      </c>
      <c r="F30" s="194">
        <v>2</v>
      </c>
      <c r="G30" s="200">
        <v>300</v>
      </c>
      <c r="H30" s="201">
        <f>E30*G30</f>
        <v>0.6</v>
      </c>
      <c r="I30" s="45">
        <f>(F30*1)/100</f>
        <v>0.02</v>
      </c>
      <c r="J30" s="45">
        <f>(F30*72.5)/100</f>
        <v>1.45</v>
      </c>
      <c r="K30" s="45">
        <f>(F30*1.4)/100</f>
        <v>0.027999999999999997</v>
      </c>
      <c r="L30" s="46">
        <f>(F30*662)/100</f>
        <v>13.24</v>
      </c>
      <c r="O30" s="264"/>
      <c r="P30" s="266"/>
      <c r="Q30" s="266"/>
      <c r="R30" s="314"/>
      <c r="S30" s="1116"/>
      <c r="T30" s="1392"/>
      <c r="U30" s="267"/>
      <c r="V30" s="288"/>
      <c r="W30" s="233"/>
      <c r="X30" s="233"/>
      <c r="Y30" s="233"/>
      <c r="Z30" s="233"/>
    </row>
    <row r="31" spans="1:26" ht="12.75">
      <c r="A31" s="68" t="s">
        <v>31</v>
      </c>
      <c r="B31" s="70"/>
      <c r="C31" s="70"/>
      <c r="D31" s="202"/>
      <c r="E31" s="199">
        <v>0.007</v>
      </c>
      <c r="F31" s="194">
        <v>7</v>
      </c>
      <c r="G31" s="200">
        <v>63</v>
      </c>
      <c r="H31" s="201">
        <f>E31*G31</f>
        <v>0.441</v>
      </c>
      <c r="I31" s="194">
        <f>(9.3*F31)/100</f>
        <v>0.6510000000000001</v>
      </c>
      <c r="J31" s="194">
        <f>(F31*1.1)/100</f>
        <v>0.07700000000000001</v>
      </c>
      <c r="K31" s="194">
        <f>(F31*66.9)/100</f>
        <v>4.683000000000001</v>
      </c>
      <c r="L31" s="203">
        <f>(315*F31)/100</f>
        <v>22.05</v>
      </c>
      <c r="O31" s="837"/>
      <c r="P31" s="837"/>
      <c r="Q31" s="837"/>
      <c r="R31" s="247"/>
      <c r="S31" s="838"/>
      <c r="T31" s="221"/>
      <c r="U31" s="288"/>
      <c r="V31" s="288"/>
      <c r="W31" s="269"/>
      <c r="X31" s="269"/>
      <c r="Y31" s="269"/>
      <c r="Z31" s="269"/>
    </row>
    <row r="32" spans="1:26" ht="12.75" customHeight="1">
      <c r="A32" s="68" t="s">
        <v>32</v>
      </c>
      <c r="B32" s="70"/>
      <c r="C32" s="70"/>
      <c r="D32" s="202"/>
      <c r="E32" s="199">
        <v>0.06</v>
      </c>
      <c r="F32" s="194">
        <v>35</v>
      </c>
      <c r="G32" s="200">
        <v>56</v>
      </c>
      <c r="H32" s="201">
        <f>E32*G32</f>
        <v>3.36</v>
      </c>
      <c r="I32" s="204">
        <f>(F32*2)/100</f>
        <v>0.7</v>
      </c>
      <c r="J32" s="204">
        <f>(F32*0.4)/100</f>
        <v>0.14</v>
      </c>
      <c r="K32" s="204">
        <f>(F32*16.3)/100</f>
        <v>5.705</v>
      </c>
      <c r="L32" s="205">
        <f>(F32*77)/100</f>
        <v>26.95</v>
      </c>
      <c r="N32" s="206"/>
      <c r="O32" s="221"/>
      <c r="P32" s="57"/>
      <c r="Q32" s="57"/>
      <c r="R32" s="207"/>
      <c r="S32" s="222"/>
      <c r="T32" s="1393"/>
      <c r="U32" s="267"/>
      <c r="V32" s="288"/>
      <c r="W32" s="268"/>
      <c r="X32" s="268"/>
      <c r="Y32" s="268"/>
      <c r="Z32" s="268"/>
    </row>
    <row r="33" spans="1:26" ht="12.75" customHeight="1">
      <c r="A33" s="196" t="s">
        <v>33</v>
      </c>
      <c r="B33" s="197"/>
      <c r="C33" s="197"/>
      <c r="D33" s="198"/>
      <c r="E33" s="212">
        <v>0.01</v>
      </c>
      <c r="F33" s="213">
        <v>8</v>
      </c>
      <c r="G33" s="214">
        <v>63</v>
      </c>
      <c r="H33" s="215">
        <f>E33*G33</f>
        <v>0.63</v>
      </c>
      <c r="I33" s="213">
        <f>(F33*1.4)/100</f>
        <v>0.11199999999999999</v>
      </c>
      <c r="J33" s="213">
        <f>(F33*0.2)/100</f>
        <v>0.016</v>
      </c>
      <c r="K33" s="213">
        <f>(F33*8.2)/100</f>
        <v>0.6559999999999999</v>
      </c>
      <c r="L33" s="216">
        <f>(F33*41)/100</f>
        <v>3.28</v>
      </c>
      <c r="N33" s="206"/>
      <c r="O33" s="221"/>
      <c r="P33" s="57"/>
      <c r="Q33" s="57"/>
      <c r="R33" s="207"/>
      <c r="S33" s="222"/>
      <c r="T33" s="223"/>
      <c r="U33" s="267"/>
      <c r="V33" s="288"/>
      <c r="W33" s="268"/>
      <c r="X33" s="268"/>
      <c r="Y33" s="268"/>
      <c r="Z33" s="268"/>
    </row>
    <row r="34" spans="1:26" ht="12.75" customHeight="1">
      <c r="A34" s="217" t="s">
        <v>34</v>
      </c>
      <c r="B34" s="218"/>
      <c r="C34" s="218"/>
      <c r="D34" s="219"/>
      <c r="E34" s="212">
        <v>0.01</v>
      </c>
      <c r="F34" s="213">
        <v>8</v>
      </c>
      <c r="G34" s="214">
        <v>70</v>
      </c>
      <c r="H34" s="215">
        <f>G34*E34</f>
        <v>0.7000000000000001</v>
      </c>
      <c r="I34" s="213">
        <f>(F34*1.3)/100</f>
        <v>0.10400000000000001</v>
      </c>
      <c r="J34" s="213">
        <f>(F34*0.1)/100</f>
        <v>0.008</v>
      </c>
      <c r="K34" s="213">
        <f>(F34*6.9)/100</f>
        <v>0.552</v>
      </c>
      <c r="L34" s="220">
        <f>(F34*35)/100</f>
        <v>2.8</v>
      </c>
      <c r="N34" s="206"/>
      <c r="O34" s="221"/>
      <c r="P34" s="221"/>
      <c r="Q34" s="221"/>
      <c r="R34" s="247"/>
      <c r="S34" s="222"/>
      <c r="T34" s="223"/>
      <c r="U34" s="267"/>
      <c r="V34" s="288"/>
      <c r="W34" s="268"/>
      <c r="X34" s="268"/>
      <c r="Y34" s="268"/>
      <c r="Z34" s="268"/>
    </row>
    <row r="35" spans="1:26" ht="12.75">
      <c r="A35" s="1779" t="s">
        <v>35</v>
      </c>
      <c r="B35" s="1779"/>
      <c r="C35" s="1779"/>
      <c r="D35" s="234">
        <v>150</v>
      </c>
      <c r="E35" s="235"/>
      <c r="F35" s="236"/>
      <c r="G35" s="137"/>
      <c r="H35" s="92">
        <f>SUM(H36:H41)</f>
        <v>55.902</v>
      </c>
      <c r="I35" s="140">
        <f>SUM(I36:I41)</f>
        <v>16.816</v>
      </c>
      <c r="J35" s="140">
        <f>SUM(J36:J41)</f>
        <v>17.348</v>
      </c>
      <c r="K35" s="140">
        <f>SUM(K36:K41)</f>
        <v>8.578</v>
      </c>
      <c r="L35" s="140">
        <f>SUM(L36:L41)</f>
        <v>259.22</v>
      </c>
      <c r="N35" s="837"/>
      <c r="O35" s="264"/>
      <c r="P35" s="266"/>
      <c r="Q35" s="266"/>
      <c r="R35" s="831"/>
      <c r="S35" s="315"/>
      <c r="T35" s="266"/>
      <c r="U35" s="267"/>
      <c r="V35" s="267"/>
      <c r="W35" s="291"/>
      <c r="X35" s="291"/>
      <c r="Y35" s="291"/>
      <c r="Z35" s="291"/>
    </row>
    <row r="36" spans="1:26" ht="12.75">
      <c r="A36" s="557" t="s">
        <v>36</v>
      </c>
      <c r="B36" s="1394"/>
      <c r="C36" s="1394"/>
      <c r="D36" s="1395"/>
      <c r="E36" s="241">
        <v>0.08</v>
      </c>
      <c r="F36" s="242">
        <v>75</v>
      </c>
      <c r="G36" s="243">
        <v>530</v>
      </c>
      <c r="H36" s="244">
        <f>E36*G36</f>
        <v>42.4</v>
      </c>
      <c r="I36" s="723">
        <f>(18.6*F36)/100</f>
        <v>13.95</v>
      </c>
      <c r="J36" s="723">
        <f>(16*F36)/100</f>
        <v>12</v>
      </c>
      <c r="K36" s="723"/>
      <c r="L36" s="724">
        <f>(218*F36)/100</f>
        <v>163.5</v>
      </c>
      <c r="N36" s="221"/>
      <c r="O36" s="264"/>
      <c r="P36" s="266"/>
      <c r="Q36" s="266"/>
      <c r="R36" s="831"/>
      <c r="S36" s="265"/>
      <c r="T36" s="266"/>
      <c r="U36" s="267"/>
      <c r="V36" s="267"/>
      <c r="W36" s="268"/>
      <c r="X36" s="268"/>
      <c r="Y36" s="268"/>
      <c r="Z36" s="269"/>
    </row>
    <row r="37" spans="1:25" ht="12.75" customHeight="1">
      <c r="A37" s="248" t="s">
        <v>16</v>
      </c>
      <c r="B37" s="249"/>
      <c r="C37" s="250"/>
      <c r="D37" s="251"/>
      <c r="E37" s="252">
        <v>0.003</v>
      </c>
      <c r="F37" s="253">
        <v>3</v>
      </c>
      <c r="G37" s="254">
        <v>300</v>
      </c>
      <c r="H37" s="255">
        <f>E37*G37</f>
        <v>0.9</v>
      </c>
      <c r="I37" s="45">
        <f>(F37*1)/100</f>
        <v>0.03</v>
      </c>
      <c r="J37" s="45">
        <f>(F37*72.5)/100</f>
        <v>2.175</v>
      </c>
      <c r="K37" s="45">
        <f>(F37*1.4)/100</f>
        <v>0.041999999999999996</v>
      </c>
      <c r="L37" s="46">
        <f>(F37*662)/100</f>
        <v>19.86</v>
      </c>
      <c r="N37" s="221"/>
      <c r="O37" s="57"/>
      <c r="P37" s="57"/>
      <c r="Q37" s="207"/>
      <c r="R37" s="222"/>
      <c r="S37" s="223"/>
      <c r="T37" s="209"/>
      <c r="U37" s="224"/>
      <c r="V37" s="237"/>
      <c r="W37" s="237"/>
      <c r="X37" s="237"/>
      <c r="Y37" s="237"/>
    </row>
    <row r="38" spans="1:25" ht="12.75" customHeight="1">
      <c r="A38" s="248" t="s">
        <v>37</v>
      </c>
      <c r="B38" s="250"/>
      <c r="C38" s="250"/>
      <c r="D38" s="251"/>
      <c r="E38" s="51">
        <v>0.003</v>
      </c>
      <c r="F38" s="256">
        <v>3</v>
      </c>
      <c r="G38" s="53">
        <v>129</v>
      </c>
      <c r="H38" s="144">
        <f>E38*G38</f>
        <v>0.387</v>
      </c>
      <c r="I38" s="257"/>
      <c r="J38" s="258">
        <f>(F38*99.9)/100</f>
        <v>2.9970000000000003</v>
      </c>
      <c r="K38" s="54"/>
      <c r="L38" s="259">
        <f>(F38*899)/100</f>
        <v>26.97</v>
      </c>
      <c r="N38" s="221"/>
      <c r="O38" s="57"/>
      <c r="P38" s="57"/>
      <c r="Q38" s="207"/>
      <c r="R38" s="222"/>
      <c r="S38" s="223"/>
      <c r="T38" s="209"/>
      <c r="U38" s="224"/>
      <c r="V38" s="237"/>
      <c r="W38" s="237"/>
      <c r="X38" s="237"/>
      <c r="Y38" s="237"/>
    </row>
    <row r="39" spans="1:25" ht="12.75" customHeight="1">
      <c r="A39" s="248" t="s">
        <v>38</v>
      </c>
      <c r="B39" s="249"/>
      <c r="C39" s="249"/>
      <c r="D39" s="260"/>
      <c r="E39" s="261">
        <v>0.17</v>
      </c>
      <c r="F39" s="262">
        <v>136</v>
      </c>
      <c r="G39" s="112">
        <v>56</v>
      </c>
      <c r="H39" s="112">
        <f>G39*E39</f>
        <v>9.520000000000001</v>
      </c>
      <c r="I39" s="111">
        <f>(1.8*F39)/100</f>
        <v>2.448</v>
      </c>
      <c r="J39" s="111">
        <f>(F39*0.1)/100</f>
        <v>0.136</v>
      </c>
      <c r="K39" s="111">
        <f>(F39*4.7)/100</f>
        <v>6.392</v>
      </c>
      <c r="L39" s="263">
        <f>(F39*28)/100</f>
        <v>38.08</v>
      </c>
      <c r="N39" s="221"/>
      <c r="O39" s="57"/>
      <c r="P39" s="57"/>
      <c r="Q39" s="207"/>
      <c r="R39" s="222"/>
      <c r="S39" s="223"/>
      <c r="T39" s="209"/>
      <c r="U39" s="224"/>
      <c r="V39" s="237"/>
      <c r="W39" s="237"/>
      <c r="X39" s="237"/>
      <c r="Y39" s="237"/>
    </row>
    <row r="40" spans="1:25" ht="12.75">
      <c r="A40" s="248" t="s">
        <v>33</v>
      </c>
      <c r="B40" s="249"/>
      <c r="C40" s="249"/>
      <c r="D40" s="260"/>
      <c r="E40" s="261">
        <v>0.015</v>
      </c>
      <c r="F40" s="262">
        <v>11</v>
      </c>
      <c r="G40" s="112">
        <v>63</v>
      </c>
      <c r="H40" s="112">
        <f>G40*E40</f>
        <v>0.945</v>
      </c>
      <c r="I40" s="204">
        <f>(F40*1.4)/100</f>
        <v>0.154</v>
      </c>
      <c r="J40" s="204">
        <f>(F40*0.2)/100</f>
        <v>0.022000000000000002</v>
      </c>
      <c r="K40" s="204">
        <f>(F40*8.2)/100</f>
        <v>0.9019999999999999</v>
      </c>
      <c r="L40" s="205">
        <f>(F40*41)/100</f>
        <v>4.51</v>
      </c>
      <c r="N40" s="221"/>
      <c r="O40" s="221"/>
      <c r="P40" s="221"/>
      <c r="Q40" s="247"/>
      <c r="R40" s="222"/>
      <c r="S40" s="223"/>
      <c r="T40" s="209"/>
      <c r="U40" s="224"/>
      <c r="V40" s="223"/>
      <c r="W40" s="223"/>
      <c r="X40" s="223"/>
      <c r="Y40" s="223"/>
    </row>
    <row r="41" spans="1:25" ht="12.75">
      <c r="A41" s="248" t="s">
        <v>34</v>
      </c>
      <c r="B41" s="249"/>
      <c r="C41" s="249"/>
      <c r="D41" s="260"/>
      <c r="E41" s="271">
        <v>0.025</v>
      </c>
      <c r="F41" s="272">
        <v>18</v>
      </c>
      <c r="G41" s="273">
        <v>70</v>
      </c>
      <c r="H41" s="273">
        <f>E41*G41</f>
        <v>1.75</v>
      </c>
      <c r="I41" s="204">
        <f>(F41*1.3)/100</f>
        <v>0.234</v>
      </c>
      <c r="J41" s="204">
        <f>(F41*0.1)/100</f>
        <v>0.018000000000000002</v>
      </c>
      <c r="K41" s="204">
        <f>(F41*6.9)/100</f>
        <v>1.242</v>
      </c>
      <c r="L41" s="274">
        <f>(F41*35)/100</f>
        <v>6.3</v>
      </c>
      <c r="N41" s="221"/>
      <c r="O41" s="221"/>
      <c r="P41" s="221"/>
      <c r="Q41" s="247"/>
      <c r="R41" s="222"/>
      <c r="S41" s="223"/>
      <c r="T41" s="209"/>
      <c r="U41" s="224"/>
      <c r="V41" s="223"/>
      <c r="W41" s="223"/>
      <c r="X41" s="223"/>
      <c r="Y41" s="237"/>
    </row>
    <row r="42" spans="1:25" ht="12.75">
      <c r="A42" s="1773" t="s">
        <v>235</v>
      </c>
      <c r="B42" s="1773"/>
      <c r="C42" s="1773"/>
      <c r="D42" s="20">
        <v>150</v>
      </c>
      <c r="E42" s="846"/>
      <c r="F42" s="846"/>
      <c r="G42" s="23"/>
      <c r="H42" s="23">
        <f>H43+H44</f>
        <v>5.174</v>
      </c>
      <c r="I42" s="294">
        <f>SUM(I43:I44)</f>
        <v>0.065</v>
      </c>
      <c r="J42" s="294">
        <f>SUM(J43:J44)</f>
        <v>0.026000000000000002</v>
      </c>
      <c r="K42" s="294">
        <f>SUM(K43:K44)</f>
        <v>13.454999999999998</v>
      </c>
      <c r="L42" s="847">
        <f>SUM(L43:L44)</f>
        <v>55.51</v>
      </c>
      <c r="N42" s="286"/>
      <c r="O42" s="286"/>
      <c r="P42" s="286"/>
      <c r="Q42" s="287"/>
      <c r="R42" s="270"/>
      <c r="S42" s="28"/>
      <c r="T42" s="288"/>
      <c r="U42" s="288"/>
      <c r="V42" s="269"/>
      <c r="W42" s="269"/>
      <c r="X42" s="269"/>
      <c r="Y42" s="269"/>
    </row>
    <row r="43" spans="1:25" ht="12.75">
      <c r="A43" s="196" t="s">
        <v>40</v>
      </c>
      <c r="B43" s="848"/>
      <c r="C43" s="849"/>
      <c r="D43" s="850"/>
      <c r="E43" s="851">
        <v>0.013000000000000001</v>
      </c>
      <c r="F43" s="852">
        <v>13</v>
      </c>
      <c r="G43" s="200">
        <v>308</v>
      </c>
      <c r="H43" s="200">
        <f>G43*E43</f>
        <v>4.0040000000000004</v>
      </c>
      <c r="I43" s="85">
        <f>(F43*0.5)/100</f>
        <v>0.065</v>
      </c>
      <c r="J43" s="85">
        <f>(F43*0.2)/100</f>
        <v>0.026000000000000002</v>
      </c>
      <c r="K43" s="85">
        <f>(F43*3.7)/100</f>
        <v>0.48100000000000004</v>
      </c>
      <c r="L43" s="86">
        <f>(28*F43)/100</f>
        <v>3.64</v>
      </c>
      <c r="N43" s="286"/>
      <c r="O43" s="286"/>
      <c r="P43" s="286"/>
      <c r="Q43" s="287"/>
      <c r="R43" s="270"/>
      <c r="S43" s="28"/>
      <c r="T43" s="150"/>
      <c r="U43" s="150"/>
      <c r="V43" s="291"/>
      <c r="W43" s="291"/>
      <c r="X43" s="291"/>
      <c r="Y43" s="291"/>
    </row>
    <row r="44" spans="1:25" ht="12.75">
      <c r="A44" s="37" t="s">
        <v>17</v>
      </c>
      <c r="B44" s="38"/>
      <c r="C44" s="292"/>
      <c r="D44" s="293"/>
      <c r="E44" s="41">
        <v>0.013000000000000001</v>
      </c>
      <c r="F44" s="42">
        <v>13</v>
      </c>
      <c r="G44" s="43">
        <v>90</v>
      </c>
      <c r="H44" s="43">
        <f>E44*G44</f>
        <v>1.1700000000000002</v>
      </c>
      <c r="I44" s="80"/>
      <c r="J44" s="80"/>
      <c r="K44" s="80">
        <f>(F44*99.8)/100</f>
        <v>12.973999999999998</v>
      </c>
      <c r="L44" s="81">
        <f>(F44*399)/100</f>
        <v>51.87</v>
      </c>
      <c r="N44" s="206"/>
      <c r="O44" s="206"/>
      <c r="P44" s="206"/>
      <c r="Q44" s="207"/>
      <c r="R44" s="57"/>
      <c r="S44" s="57"/>
      <c r="T44" s="209"/>
      <c r="U44" s="210"/>
      <c r="V44" s="211"/>
      <c r="W44" s="211"/>
      <c r="X44" s="211"/>
      <c r="Y44" s="211"/>
    </row>
    <row r="45" spans="1:25" ht="12.75" customHeight="1">
      <c r="A45" s="1780" t="s">
        <v>41</v>
      </c>
      <c r="B45" s="1780"/>
      <c r="C45" s="1780"/>
      <c r="D45" s="927">
        <v>30</v>
      </c>
      <c r="E45" s="66">
        <v>0.03</v>
      </c>
      <c r="F45" s="21">
        <v>30</v>
      </c>
      <c r="G45" s="22">
        <v>35</v>
      </c>
      <c r="H45" s="23">
        <f>E45*G45</f>
        <v>1.05</v>
      </c>
      <c r="I45" s="294">
        <f>(6.6*F45)/100</f>
        <v>1.98</v>
      </c>
      <c r="J45" s="294">
        <f>(1.2*F45)/100</f>
        <v>0.36</v>
      </c>
      <c r="K45" s="294">
        <f>(33.4*F45)/100</f>
        <v>10.02</v>
      </c>
      <c r="L45" s="67">
        <f>(174*F45)/100</f>
        <v>52.2</v>
      </c>
      <c r="N45" s="221"/>
      <c r="O45" s="221"/>
      <c r="P45" s="221"/>
      <c r="Q45" s="247"/>
      <c r="R45" s="270"/>
      <c r="S45" s="28"/>
      <c r="T45" s="150"/>
      <c r="U45" s="151"/>
      <c r="V45" s="279"/>
      <c r="W45" s="279"/>
      <c r="X45" s="279"/>
      <c r="Y45" s="279"/>
    </row>
    <row r="46" spans="1:25" ht="12.75">
      <c r="A46" s="1276" t="s">
        <v>42</v>
      </c>
      <c r="B46" s="1277"/>
      <c r="C46" s="1277"/>
      <c r="D46" s="853">
        <v>20</v>
      </c>
      <c r="E46" s="66">
        <v>0.02</v>
      </c>
      <c r="F46" s="21">
        <v>20</v>
      </c>
      <c r="G46" s="22">
        <v>64</v>
      </c>
      <c r="H46" s="23">
        <f>E46*G46</f>
        <v>1.28</v>
      </c>
      <c r="I46" s="294">
        <f>(F46*8)/100</f>
        <v>1.6</v>
      </c>
      <c r="J46" s="294">
        <f>(F46*1)/100</f>
        <v>0.2</v>
      </c>
      <c r="K46" s="294">
        <f>(F46*49.1)/100</f>
        <v>9.82</v>
      </c>
      <c r="L46" s="67">
        <f>(F46*238)/100</f>
        <v>47.6</v>
      </c>
      <c r="N46" s="286"/>
      <c r="O46" s="221"/>
      <c r="P46" s="221"/>
      <c r="Q46" s="247"/>
      <c r="R46" s="270"/>
      <c r="S46" s="28"/>
      <c r="T46" s="150"/>
      <c r="U46" s="151"/>
      <c r="V46" s="233"/>
      <c r="W46" s="233"/>
      <c r="X46" s="233"/>
      <c r="Y46" s="233"/>
    </row>
    <row r="47" spans="1:12" ht="12.75">
      <c r="A47" s="27"/>
      <c r="B47" s="286"/>
      <c r="C47" s="286"/>
      <c r="D47" s="287"/>
      <c r="E47" s="28"/>
      <c r="F47" s="28"/>
      <c r="G47" s="150"/>
      <c r="H47" s="150"/>
      <c r="I47" s="152"/>
      <c r="J47" s="152"/>
      <c r="K47" s="152"/>
      <c r="L47" s="295"/>
    </row>
    <row r="48" spans="1:12" ht="15.75">
      <c r="A48" s="296"/>
      <c r="B48" s="155"/>
      <c r="C48" s="297" t="s">
        <v>43</v>
      </c>
      <c r="D48" s="298"/>
      <c r="E48" s="297"/>
      <c r="F48" s="297"/>
      <c r="G48" s="159"/>
      <c r="H48" s="159">
        <f>H46+H45+H42+H35+H28</f>
        <v>69.137</v>
      </c>
      <c r="I48" s="299"/>
      <c r="J48" s="160"/>
      <c r="K48" s="160"/>
      <c r="L48" s="161"/>
    </row>
    <row r="49" spans="1:12" ht="15.75">
      <c r="A49" s="300" t="s">
        <v>24</v>
      </c>
      <c r="B49" s="124"/>
      <c r="C49" s="124"/>
      <c r="D49" s="301"/>
      <c r="E49" s="124"/>
      <c r="F49" s="124"/>
      <c r="G49" s="302"/>
      <c r="H49" s="302"/>
      <c r="I49" s="129">
        <f>I46+I45+I42+I35+I28</f>
        <v>22.048</v>
      </c>
      <c r="J49" s="129">
        <f>J46+J45+J42+J35+J28</f>
        <v>19.624999999999996</v>
      </c>
      <c r="K49" s="129">
        <f>K46+K45+K42+K35+K28</f>
        <v>53.49700000000001</v>
      </c>
      <c r="L49" s="129">
        <f>L46+L45+L42+L35+L28</f>
        <v>482.85</v>
      </c>
    </row>
    <row r="50" spans="1:12" ht="15.75">
      <c r="A50" s="303"/>
      <c r="B50" s="303"/>
      <c r="C50" s="303"/>
      <c r="D50" s="304"/>
      <c r="E50" s="303"/>
      <c r="F50" s="303"/>
      <c r="G50" s="305"/>
      <c r="H50" s="305"/>
      <c r="I50" s="306"/>
      <c r="J50" s="306"/>
      <c r="K50" s="306"/>
      <c r="L50" s="307">
        <f>L49/1400</f>
        <v>0.34489285714285717</v>
      </c>
    </row>
    <row r="51" spans="1:12" ht="15">
      <c r="A51" s="18" t="s">
        <v>44</v>
      </c>
      <c r="B51" s="28"/>
      <c r="C51" s="308"/>
      <c r="D51" s="149"/>
      <c r="E51" s="28"/>
      <c r="F51" s="28"/>
      <c r="G51" s="28"/>
      <c r="H51" s="28"/>
      <c r="I51" s="133"/>
      <c r="J51" s="133"/>
      <c r="K51" s="150"/>
      <c r="L51" s="152"/>
    </row>
    <row r="52" spans="1:25" ht="31.5" customHeight="1">
      <c r="A52" s="309" t="s">
        <v>45</v>
      </c>
      <c r="B52" s="310"/>
      <c r="C52" s="310"/>
      <c r="D52" s="311">
        <v>110</v>
      </c>
      <c r="E52" s="312"/>
      <c r="F52" s="282"/>
      <c r="G52" s="283"/>
      <c r="H52" s="284">
        <f>SUM(H53:H55)</f>
        <v>19.319999999999997</v>
      </c>
      <c r="I52" s="285">
        <f>I53+I54+I55</f>
        <v>9.145999999999997</v>
      </c>
      <c r="J52" s="285">
        <f>J53+J54+J55</f>
        <v>11.07</v>
      </c>
      <c r="K52" s="285">
        <f>K53+K54+K55</f>
        <v>3.342</v>
      </c>
      <c r="L52" s="285">
        <f>L53+L54+L55</f>
        <v>153.54</v>
      </c>
      <c r="N52" s="313"/>
      <c r="O52" s="264"/>
      <c r="P52" s="264"/>
      <c r="Q52" s="314"/>
      <c r="R52" s="315"/>
      <c r="S52" s="266"/>
      <c r="T52" s="267"/>
      <c r="U52" s="316"/>
      <c r="V52" s="317"/>
      <c r="W52" s="317"/>
      <c r="X52" s="317"/>
      <c r="Y52" s="317"/>
    </row>
    <row r="53" spans="1:25" ht="12.75">
      <c r="A53" s="318" t="s">
        <v>18</v>
      </c>
      <c r="B53" s="319"/>
      <c r="C53" s="319"/>
      <c r="D53" s="320"/>
      <c r="E53" s="321">
        <v>0.06</v>
      </c>
      <c r="F53" s="322">
        <v>60</v>
      </c>
      <c r="G53" s="323">
        <v>72</v>
      </c>
      <c r="H53" s="324">
        <f>G53*E53</f>
        <v>4.32</v>
      </c>
      <c r="I53" s="54">
        <f>(2.9*F53)/100</f>
        <v>1.74</v>
      </c>
      <c r="J53" s="54">
        <f>(F53*2.5)/100</f>
        <v>1.5</v>
      </c>
      <c r="K53" s="54">
        <f>(4.8*F53)/100</f>
        <v>2.88</v>
      </c>
      <c r="L53" s="55">
        <f>(F53*60)/100</f>
        <v>36</v>
      </c>
      <c r="N53" s="264"/>
      <c r="O53" s="264"/>
      <c r="P53" s="264"/>
      <c r="Q53" s="325"/>
      <c r="R53" s="326"/>
      <c r="S53" s="264"/>
      <c r="T53" s="288"/>
      <c r="U53" s="288"/>
      <c r="V53" s="291"/>
      <c r="W53" s="291"/>
      <c r="X53" s="291"/>
      <c r="Y53" s="291"/>
    </row>
    <row r="54" spans="1:25" ht="12.75">
      <c r="A54" s="318" t="s">
        <v>46</v>
      </c>
      <c r="B54" s="319"/>
      <c r="C54" s="319"/>
      <c r="D54" s="320"/>
      <c r="E54" s="321">
        <v>0.06</v>
      </c>
      <c r="F54" s="322">
        <v>58</v>
      </c>
      <c r="G54" s="323">
        <v>230</v>
      </c>
      <c r="H54" s="324">
        <f>G54*E54</f>
        <v>13.799999999999999</v>
      </c>
      <c r="I54" s="258">
        <f>(12.7*F54)/100</f>
        <v>7.365999999999999</v>
      </c>
      <c r="J54" s="258">
        <f>(F54*11.5)/100</f>
        <v>6.67</v>
      </c>
      <c r="K54" s="258">
        <f>(F54*0.7)/100</f>
        <v>0.406</v>
      </c>
      <c r="L54" s="327">
        <f>(157*F54)/100</f>
        <v>91.06</v>
      </c>
      <c r="N54" s="264"/>
      <c r="O54" s="264"/>
      <c r="P54" s="264"/>
      <c r="Q54" s="325"/>
      <c r="R54" s="326"/>
      <c r="S54" s="264"/>
      <c r="T54" s="288"/>
      <c r="U54" s="288"/>
      <c r="V54" s="291"/>
      <c r="W54" s="291"/>
      <c r="X54" s="291"/>
      <c r="Y54" s="291"/>
    </row>
    <row r="55" spans="1:25" ht="12.75">
      <c r="A55" s="318" t="s">
        <v>16</v>
      </c>
      <c r="B55" s="319"/>
      <c r="C55" s="319"/>
      <c r="D55" s="320"/>
      <c r="E55" s="252">
        <v>0.004</v>
      </c>
      <c r="F55" s="253">
        <v>4</v>
      </c>
      <c r="G55" s="254">
        <v>300</v>
      </c>
      <c r="H55" s="323">
        <f>G55*E55</f>
        <v>1.2</v>
      </c>
      <c r="I55" s="45">
        <f>(F55*1)/100</f>
        <v>0.04</v>
      </c>
      <c r="J55" s="45">
        <f>(F55*72.5)/100</f>
        <v>2.9</v>
      </c>
      <c r="K55" s="45">
        <f>(F55*1.4)/100</f>
        <v>0.055999999999999994</v>
      </c>
      <c r="L55" s="46">
        <f>(F55*662)/100</f>
        <v>26.48</v>
      </c>
      <c r="N55" s="264"/>
      <c r="O55" s="264"/>
      <c r="P55" s="264"/>
      <c r="Q55" s="325"/>
      <c r="R55" s="326"/>
      <c r="S55" s="264"/>
      <c r="T55" s="288"/>
      <c r="U55" s="288"/>
      <c r="V55" s="291"/>
      <c r="W55" s="291"/>
      <c r="X55" s="291"/>
      <c r="Y55" s="291"/>
    </row>
    <row r="56" spans="1:25" ht="12.75">
      <c r="A56" s="309" t="s">
        <v>47</v>
      </c>
      <c r="B56" s="310"/>
      <c r="C56" s="328"/>
      <c r="D56" s="361">
        <v>40</v>
      </c>
      <c r="E56" s="330"/>
      <c r="F56" s="331"/>
      <c r="G56" s="105"/>
      <c r="H56" s="106">
        <f>H57+H58</f>
        <v>8.087</v>
      </c>
      <c r="I56" s="108">
        <f>I57+I58</f>
        <v>1.24</v>
      </c>
      <c r="J56" s="108">
        <f>J57+J58</f>
        <v>3.277</v>
      </c>
      <c r="K56" s="108">
        <f>K57+K58</f>
        <v>0.5005000000000001</v>
      </c>
      <c r="L56" s="108">
        <f>L57+L58</f>
        <v>27.465999999999998</v>
      </c>
      <c r="N56" s="264"/>
      <c r="O56" s="264"/>
      <c r="P56" s="264"/>
      <c r="Q56" s="325"/>
      <c r="R56" s="326"/>
      <c r="S56" s="264"/>
      <c r="T56" s="288"/>
      <c r="U56" s="288"/>
      <c r="V56" s="291"/>
      <c r="W56" s="291"/>
      <c r="X56" s="291"/>
      <c r="Y56" s="291"/>
    </row>
    <row r="57" spans="1:25" ht="12.75">
      <c r="A57" s="333" t="s">
        <v>47</v>
      </c>
      <c r="B57" s="334"/>
      <c r="C57" s="334"/>
      <c r="D57" s="335"/>
      <c r="E57" s="336">
        <v>0.055</v>
      </c>
      <c r="F57" s="54">
        <v>40</v>
      </c>
      <c r="G57" s="337">
        <v>140</v>
      </c>
      <c r="H57" s="145">
        <f>G57*E57</f>
        <v>7.7</v>
      </c>
      <c r="I57" s="338">
        <f>(F57*3.1)/100</f>
        <v>1.24</v>
      </c>
      <c r="J57" s="338">
        <f>(G57*0.2)/100</f>
        <v>0.28</v>
      </c>
      <c r="K57" s="338">
        <f>(H57*6.5)/100</f>
        <v>0.5005000000000001</v>
      </c>
      <c r="L57" s="339">
        <f>(I57*40)/100</f>
        <v>0.496</v>
      </c>
      <c r="N57" s="264"/>
      <c r="O57" s="264"/>
      <c r="P57" s="264"/>
      <c r="Q57" s="325"/>
      <c r="R57" s="326"/>
      <c r="S57" s="264"/>
      <c r="T57" s="288"/>
      <c r="U57" s="288"/>
      <c r="V57" s="291"/>
      <c r="W57" s="291"/>
      <c r="X57" s="291"/>
      <c r="Y57" s="291"/>
    </row>
    <row r="58" spans="1:25" ht="12.75">
      <c r="A58" s="340" t="s">
        <v>37</v>
      </c>
      <c r="B58" s="341"/>
      <c r="C58" s="250"/>
      <c r="D58" s="251"/>
      <c r="E58" s="252">
        <v>0.003</v>
      </c>
      <c r="F58" s="253">
        <v>3</v>
      </c>
      <c r="G58" s="254">
        <v>129</v>
      </c>
      <c r="H58" s="324">
        <f>G58*E58</f>
        <v>0.387</v>
      </c>
      <c r="I58" s="257"/>
      <c r="J58" s="258">
        <f>(F58*99.9)/100</f>
        <v>2.9970000000000003</v>
      </c>
      <c r="K58" s="54"/>
      <c r="L58" s="259">
        <f>(F58*899)/100</f>
        <v>26.97</v>
      </c>
      <c r="N58" s="264"/>
      <c r="O58" s="264"/>
      <c r="P58" s="264"/>
      <c r="Q58" s="325"/>
      <c r="R58" s="326"/>
      <c r="S58" s="264"/>
      <c r="T58" s="288"/>
      <c r="U58" s="288"/>
      <c r="V58" s="332"/>
      <c r="W58" s="332"/>
      <c r="X58" s="332"/>
      <c r="Y58" s="332"/>
    </row>
    <row r="59" spans="1:13" ht="12.75" customHeight="1">
      <c r="A59" s="1773" t="s">
        <v>49</v>
      </c>
      <c r="B59" s="1773"/>
      <c r="C59" s="1773"/>
      <c r="D59" s="65">
        <v>150</v>
      </c>
      <c r="E59" s="21"/>
      <c r="F59" s="21"/>
      <c r="G59" s="1154"/>
      <c r="H59" s="23">
        <f>H61+H60</f>
        <v>1.214</v>
      </c>
      <c r="I59" s="67">
        <f>SUM(I60:I61)</f>
        <v>0</v>
      </c>
      <c r="J59" s="67">
        <f>SUM(J60:J61)</f>
        <v>0</v>
      </c>
      <c r="K59" s="67">
        <f>SUM(K60:K61)</f>
        <v>10.978</v>
      </c>
      <c r="L59" s="67">
        <f>SUM(L60:L61)</f>
        <v>43.89</v>
      </c>
      <c r="M59" s="345"/>
    </row>
    <row r="60" spans="1:13" ht="12.75">
      <c r="A60" s="68" t="s">
        <v>20</v>
      </c>
      <c r="B60" s="69"/>
      <c r="C60" s="70"/>
      <c r="D60" s="71"/>
      <c r="E60" s="760">
        <v>0.0005</v>
      </c>
      <c r="F60" s="78">
        <v>0.5</v>
      </c>
      <c r="G60" s="79">
        <v>448</v>
      </c>
      <c r="H60" s="79">
        <f>E60*G60</f>
        <v>0.224</v>
      </c>
      <c r="I60" s="80"/>
      <c r="J60" s="80"/>
      <c r="K60" s="80"/>
      <c r="L60" s="81"/>
      <c r="M60" s="345"/>
    </row>
    <row r="61" spans="1:13" ht="12.75">
      <c r="A61" s="68" t="s">
        <v>17</v>
      </c>
      <c r="B61" s="69"/>
      <c r="C61" s="70"/>
      <c r="D61" s="71"/>
      <c r="E61" s="77">
        <v>0.011</v>
      </c>
      <c r="F61" s="78">
        <v>11</v>
      </c>
      <c r="G61" s="79">
        <v>90</v>
      </c>
      <c r="H61" s="79">
        <f>E61*G61</f>
        <v>0.99</v>
      </c>
      <c r="I61" s="80"/>
      <c r="J61" s="80"/>
      <c r="K61" s="80">
        <f>(F61*99.8)/100</f>
        <v>10.978</v>
      </c>
      <c r="L61" s="81">
        <f>(F61*399)/100</f>
        <v>43.89</v>
      </c>
      <c r="M61" s="345"/>
    </row>
    <row r="62" spans="1:13" ht="12.75">
      <c r="A62" s="1773" t="s">
        <v>42</v>
      </c>
      <c r="B62" s="1773"/>
      <c r="C62" s="1773"/>
      <c r="D62" s="20">
        <v>20</v>
      </c>
      <c r="E62" s="66">
        <v>0.02</v>
      </c>
      <c r="F62" s="21">
        <v>20</v>
      </c>
      <c r="G62" s="22">
        <v>64</v>
      </c>
      <c r="H62" s="23">
        <f>E62*G62</f>
        <v>1.28</v>
      </c>
      <c r="I62" s="294">
        <f>(F62*8)/100</f>
        <v>1.6</v>
      </c>
      <c r="J62" s="294">
        <f>(F62*1)/100</f>
        <v>0.2</v>
      </c>
      <c r="K62" s="294">
        <f>(F62*49.1)/100</f>
        <v>9.82</v>
      </c>
      <c r="L62" s="67">
        <f>(F62*238)/100</f>
        <v>47.6</v>
      </c>
      <c r="M62" s="345"/>
    </row>
    <row r="63" spans="1:13" ht="12.75">
      <c r="A63" s="942"/>
      <c r="B63" s="90"/>
      <c r="C63" s="943"/>
      <c r="D63" s="944"/>
      <c r="E63" s="235"/>
      <c r="F63" s="236"/>
      <c r="G63" s="137"/>
      <c r="H63" s="138"/>
      <c r="I63" s="329"/>
      <c r="J63" s="107"/>
      <c r="K63" s="366"/>
      <c r="L63" s="108"/>
      <c r="M63" s="345"/>
    </row>
    <row r="64" spans="1:13" ht="12.75">
      <c r="A64" s="360"/>
      <c r="B64" s="328"/>
      <c r="C64" s="328"/>
      <c r="D64" s="361"/>
      <c r="E64" s="362"/>
      <c r="F64" s="363"/>
      <c r="G64" s="364"/>
      <c r="H64" s="365"/>
      <c r="I64" s="329"/>
      <c r="J64" s="107"/>
      <c r="K64" s="366"/>
      <c r="L64" s="108"/>
      <c r="M64" s="345"/>
    </row>
    <row r="65" spans="1:13" ht="15.75">
      <c r="A65" s="367"/>
      <c r="B65" s="368"/>
      <c r="C65" s="369" t="s">
        <v>50</v>
      </c>
      <c r="D65" s="117"/>
      <c r="E65" s="370"/>
      <c r="F65" s="370"/>
      <c r="G65" s="371"/>
      <c r="H65" s="119">
        <f>H62+H59+H56+H52</f>
        <v>29.900999999999996</v>
      </c>
      <c r="I65" s="370"/>
      <c r="J65" s="372"/>
      <c r="K65" s="370"/>
      <c r="L65" s="373"/>
      <c r="M65" s="345"/>
    </row>
    <row r="66" spans="1:12" ht="12.75">
      <c r="A66" s="374"/>
      <c r="B66" s="375"/>
      <c r="C66" s="376" t="s">
        <v>24</v>
      </c>
      <c r="D66" s="377"/>
      <c r="E66" s="378"/>
      <c r="F66" s="378"/>
      <c r="G66" s="379"/>
      <c r="H66" s="379"/>
      <c r="I66" s="378"/>
      <c r="J66" s="380"/>
      <c r="K66" s="378"/>
      <c r="L66" s="381"/>
    </row>
    <row r="67" spans="1:12" ht="12.75">
      <c r="A67" s="382"/>
      <c r="C67" s="383"/>
      <c r="D67" s="384"/>
      <c r="E67" s="383"/>
      <c r="F67" s="383"/>
      <c r="G67" s="385"/>
      <c r="H67" s="385"/>
      <c r="I67" s="197"/>
      <c r="J67" s="386"/>
      <c r="K67" s="197"/>
      <c r="L67" s="387"/>
    </row>
    <row r="68" spans="1:12" ht="12.75">
      <c r="A68" s="388" t="s">
        <v>24</v>
      </c>
      <c r="B68" s="389"/>
      <c r="C68" s="390"/>
      <c r="D68" s="391"/>
      <c r="E68" s="390"/>
      <c r="F68" s="390"/>
      <c r="G68" s="392"/>
      <c r="H68" s="392"/>
      <c r="I68" s="393">
        <f>I62+I59+I56+I52</f>
        <v>11.985999999999997</v>
      </c>
      <c r="J68" s="393">
        <f>J62+J59+J56+J52</f>
        <v>14.547</v>
      </c>
      <c r="K68" s="393">
        <f>K62+K59+K56+K52</f>
        <v>24.6405</v>
      </c>
      <c r="L68" s="393">
        <f>L62+L59+L56+L52</f>
        <v>272.496</v>
      </c>
    </row>
    <row r="69" spans="1:12" ht="12.75">
      <c r="A69" s="394" t="s">
        <v>51</v>
      </c>
      <c r="B69" s="395"/>
      <c r="C69" s="395"/>
      <c r="D69" s="12"/>
      <c r="E69" s="396">
        <v>0.01</v>
      </c>
      <c r="F69" s="218" t="s">
        <v>52</v>
      </c>
      <c r="G69" s="397">
        <v>20</v>
      </c>
      <c r="H69" s="13">
        <f>E69*G69</f>
        <v>0.2</v>
      </c>
      <c r="I69" s="398"/>
      <c r="J69" s="399"/>
      <c r="K69" s="398"/>
      <c r="L69" s="400">
        <f>L68/1400</f>
        <v>0.19463999999999998</v>
      </c>
    </row>
    <row r="70" spans="1:12" ht="12.75">
      <c r="A70" s="401"/>
      <c r="B70" s="398"/>
      <c r="C70" s="395"/>
      <c r="D70" s="12"/>
      <c r="E70" s="395"/>
      <c r="F70" s="395"/>
      <c r="G70" s="13"/>
      <c r="H70" s="13"/>
      <c r="I70" s="398"/>
      <c r="J70" s="399"/>
      <c r="K70" s="398"/>
      <c r="L70" s="402"/>
    </row>
    <row r="71" spans="1:12" ht="15.75">
      <c r="A71" s="403"/>
      <c r="B71" s="404"/>
      <c r="C71" s="405" t="s">
        <v>53</v>
      </c>
      <c r="D71" s="406"/>
      <c r="E71" s="404"/>
      <c r="F71" s="405"/>
      <c r="G71" s="407"/>
      <c r="H71" s="407">
        <f>H69+H65+H48+H24+H19</f>
        <v>121.467</v>
      </c>
      <c r="I71" s="408"/>
      <c r="J71" s="409"/>
      <c r="K71" s="408"/>
      <c r="L71" s="410"/>
    </row>
    <row r="72" spans="1:12" ht="12.75">
      <c r="A72" s="411"/>
      <c r="B72" s="49"/>
      <c r="C72" s="412"/>
      <c r="D72" s="413"/>
      <c r="E72" s="414"/>
      <c r="F72" s="48" t="s">
        <v>24</v>
      </c>
      <c r="G72" s="415"/>
      <c r="H72" s="415"/>
      <c r="I72" s="49"/>
      <c r="J72" s="416"/>
      <c r="K72" s="49"/>
      <c r="L72" s="417"/>
    </row>
    <row r="73" spans="1:12" ht="12.75">
      <c r="A73" s="418" t="s">
        <v>54</v>
      </c>
      <c r="B73" s="419"/>
      <c r="C73" s="390"/>
      <c r="D73" s="391"/>
      <c r="E73" s="390"/>
      <c r="F73" s="390"/>
      <c r="G73" s="392"/>
      <c r="H73" s="392"/>
      <c r="I73" s="420">
        <f>I68+I49+I25</f>
        <v>39.68899999999999</v>
      </c>
      <c r="J73" s="420">
        <f>J68+J49++J25</f>
        <v>41.251999999999995</v>
      </c>
      <c r="K73" s="420">
        <f>K68+K49++K25</f>
        <v>117.7755</v>
      </c>
      <c r="L73" s="420">
        <f>L68+L49+L25</f>
        <v>1014.486</v>
      </c>
    </row>
    <row r="74" spans="1:12" ht="12.75">
      <c r="A74" s="421"/>
      <c r="B74" s="422"/>
      <c r="C74" s="421"/>
      <c r="D74" s="423"/>
      <c r="E74" s="421"/>
      <c r="F74" s="421"/>
      <c r="G74" s="424"/>
      <c r="H74" s="424"/>
      <c r="I74" s="425"/>
      <c r="J74" s="424"/>
      <c r="K74" s="426"/>
      <c r="L74" s="307">
        <f>L73/1400</f>
        <v>0.7246328571428572</v>
      </c>
    </row>
    <row r="75" spans="1:12" ht="12.75">
      <c r="A75" s="421"/>
      <c r="B75" s="422"/>
      <c r="C75" s="421"/>
      <c r="D75" s="423"/>
      <c r="E75" s="421"/>
      <c r="F75" s="421"/>
      <c r="G75" s="424"/>
      <c r="H75" s="424"/>
      <c r="I75" s="425"/>
      <c r="J75" s="424"/>
      <c r="K75" s="426"/>
      <c r="L75" s="424"/>
    </row>
    <row r="76" spans="1:12" ht="12.75">
      <c r="A76" s="421"/>
      <c r="B76" s="422"/>
      <c r="C76" s="421"/>
      <c r="D76" s="423"/>
      <c r="E76" s="421"/>
      <c r="F76" s="421"/>
      <c r="G76" s="424"/>
      <c r="H76" s="424"/>
      <c r="I76" s="425"/>
      <c r="J76" s="424"/>
      <c r="K76" s="426"/>
      <c r="L76" s="424"/>
    </row>
    <row r="77" spans="1:12" ht="12.75">
      <c r="A77" s="421"/>
      <c r="B77" s="422"/>
      <c r="C77" s="421"/>
      <c r="D77" s="423"/>
      <c r="E77" s="421"/>
      <c r="F77" s="421"/>
      <c r="G77" s="424"/>
      <c r="H77" s="424"/>
      <c r="I77" s="425"/>
      <c r="J77" s="424"/>
      <c r="K77" s="426"/>
      <c r="L77" s="424"/>
    </row>
    <row r="78" spans="1:12" ht="12.75">
      <c r="A78" s="421"/>
      <c r="B78" s="422"/>
      <c r="C78" s="421"/>
      <c r="D78" s="423"/>
      <c r="E78" s="421"/>
      <c r="F78" s="421"/>
      <c r="G78" s="424"/>
      <c r="H78" s="424"/>
      <c r="I78" s="425"/>
      <c r="J78" s="424"/>
      <c r="K78" s="426"/>
      <c r="L78" s="424"/>
    </row>
    <row r="79" spans="1:12" ht="12.75">
      <c r="A79" s="421"/>
      <c r="B79" s="422"/>
      <c r="C79" s="421"/>
      <c r="D79" s="423"/>
      <c r="E79" s="421"/>
      <c r="F79" s="421"/>
      <c r="G79" s="424"/>
      <c r="H79" s="424"/>
      <c r="I79" s="425"/>
      <c r="J79" s="424"/>
      <c r="K79" s="426"/>
      <c r="L79" s="424"/>
    </row>
    <row r="80" spans="1:12" ht="12.75">
      <c r="A80" s="421"/>
      <c r="B80" s="422"/>
      <c r="C80" s="421"/>
      <c r="D80" s="423"/>
      <c r="E80" s="421"/>
      <c r="F80" s="421"/>
      <c r="G80" s="424"/>
      <c r="H80" s="424"/>
      <c r="I80" s="425"/>
      <c r="J80" s="424"/>
      <c r="K80" s="426"/>
      <c r="L80" s="424"/>
    </row>
    <row r="81" spans="1:12" ht="12.75">
      <c r="A81" s="421"/>
      <c r="B81" s="422"/>
      <c r="C81" s="421"/>
      <c r="D81" s="423"/>
      <c r="E81" s="421"/>
      <c r="F81" s="421"/>
      <c r="G81" s="424"/>
      <c r="H81" s="424"/>
      <c r="I81" s="425"/>
      <c r="J81" s="424"/>
      <c r="K81" s="426"/>
      <c r="L81" s="424"/>
    </row>
    <row r="82" spans="1:12" ht="12.75">
      <c r="A82" s="421"/>
      <c r="B82" s="422"/>
      <c r="C82" s="421"/>
      <c r="D82" s="423"/>
      <c r="E82" s="421"/>
      <c r="F82" s="421"/>
      <c r="G82" s="424"/>
      <c r="H82" s="424"/>
      <c r="I82" s="425"/>
      <c r="J82" s="424"/>
      <c r="K82" s="426"/>
      <c r="L82" s="424"/>
    </row>
    <row r="83" spans="1:12" ht="12.75">
      <c r="A83" s="421"/>
      <c r="B83" s="422"/>
      <c r="C83" s="421"/>
      <c r="D83" s="423"/>
      <c r="E83" s="421"/>
      <c r="F83" s="421"/>
      <c r="G83" s="424"/>
      <c r="H83" s="424"/>
      <c r="I83" s="425"/>
      <c r="J83" s="424"/>
      <c r="K83" s="426"/>
      <c r="L83" s="424"/>
    </row>
    <row r="84" spans="1:12" ht="12.75">
      <c r="A84" s="421"/>
      <c r="B84" s="422"/>
      <c r="C84" s="421"/>
      <c r="D84" s="423"/>
      <c r="E84" s="421"/>
      <c r="F84" s="421"/>
      <c r="G84" s="424"/>
      <c r="H84" s="424"/>
      <c r="I84" s="425"/>
      <c r="J84" s="424"/>
      <c r="K84" s="426"/>
      <c r="L84" s="424"/>
    </row>
    <row r="85" spans="1:12" ht="12.75">
      <c r="A85" s="421"/>
      <c r="B85" s="422"/>
      <c r="C85" s="421"/>
      <c r="D85" s="423"/>
      <c r="E85" s="421"/>
      <c r="F85" s="421"/>
      <c r="G85" s="424"/>
      <c r="H85" s="424"/>
      <c r="I85" s="425"/>
      <c r="J85" s="424"/>
      <c r="K85" s="426"/>
      <c r="L85" s="424"/>
    </row>
    <row r="86" spans="1:12" ht="12.75">
      <c r="A86" s="421"/>
      <c r="B86" s="422"/>
      <c r="C86" s="421"/>
      <c r="D86" s="423"/>
      <c r="E86" s="421"/>
      <c r="F86" s="421"/>
      <c r="G86" s="424"/>
      <c r="H86" s="424"/>
      <c r="I86" s="425"/>
      <c r="J86" s="424"/>
      <c r="K86" s="426"/>
      <c r="L86" s="424"/>
    </row>
    <row r="87" spans="1:12" ht="12.75">
      <c r="A87" s="421"/>
      <c r="B87" s="422"/>
      <c r="C87" s="421"/>
      <c r="D87" s="423"/>
      <c r="E87" s="421"/>
      <c r="F87" s="421"/>
      <c r="G87" s="424"/>
      <c r="H87" s="424"/>
      <c r="I87" s="425"/>
      <c r="J87" s="424"/>
      <c r="K87" s="426"/>
      <c r="L87" s="424"/>
    </row>
    <row r="88" spans="1:12" ht="12.75">
      <c r="A88" s="421"/>
      <c r="B88" s="422"/>
      <c r="C88" s="421"/>
      <c r="D88" s="423"/>
      <c r="E88" s="421"/>
      <c r="F88" s="421"/>
      <c r="G88" s="424"/>
      <c r="H88" s="424"/>
      <c r="I88" s="425"/>
      <c r="J88" s="424"/>
      <c r="K88" s="426"/>
      <c r="L88" s="424"/>
    </row>
    <row r="89" spans="1:12" ht="12.75">
      <c r="A89" s="421"/>
      <c r="B89" s="422"/>
      <c r="C89" s="421"/>
      <c r="D89" s="423"/>
      <c r="E89" s="421"/>
      <c r="F89" s="421"/>
      <c r="G89" s="424"/>
      <c r="H89" s="424"/>
      <c r="I89" s="425"/>
      <c r="J89" s="424"/>
      <c r="K89" s="426"/>
      <c r="L89" s="424"/>
    </row>
    <row r="90" spans="1:12" ht="12.75">
      <c r="A90" s="421"/>
      <c r="B90" s="422"/>
      <c r="C90" s="421"/>
      <c r="D90" s="423"/>
      <c r="E90" s="421"/>
      <c r="F90" s="421"/>
      <c r="G90" s="424"/>
      <c r="H90" s="424"/>
      <c r="I90" s="425"/>
      <c r="J90" s="424"/>
      <c r="K90" s="426"/>
      <c r="L90" s="424"/>
    </row>
    <row r="91" spans="1:12" ht="12.75">
      <c r="A91" s="421"/>
      <c r="B91" s="422"/>
      <c r="C91" s="421"/>
      <c r="D91" s="423"/>
      <c r="E91" s="421"/>
      <c r="F91" s="421"/>
      <c r="G91" s="424"/>
      <c r="H91" s="424"/>
      <c r="I91" s="425"/>
      <c r="J91" s="424"/>
      <c r="K91" s="426"/>
      <c r="L91" s="424"/>
    </row>
    <row r="92" spans="1:12" ht="12.75">
      <c r="A92" s="421"/>
      <c r="B92" s="422"/>
      <c r="C92" s="421"/>
      <c r="D92" s="423"/>
      <c r="E92" s="421"/>
      <c r="F92" s="421"/>
      <c r="G92" s="424"/>
      <c r="H92" s="424"/>
      <c r="I92" s="425"/>
      <c r="J92" s="424"/>
      <c r="K92" s="426"/>
      <c r="L92" s="424"/>
    </row>
    <row r="93" spans="1:12" ht="12.75">
      <c r="A93" s="421"/>
      <c r="B93" s="422"/>
      <c r="C93" s="421"/>
      <c r="D93" s="423"/>
      <c r="E93" s="421"/>
      <c r="F93" s="421"/>
      <c r="G93" s="424"/>
      <c r="H93" s="424"/>
      <c r="I93" s="425"/>
      <c r="J93" s="424"/>
      <c r="K93" s="426"/>
      <c r="L93" s="424"/>
    </row>
    <row r="94" spans="1:12" ht="12.75">
      <c r="A94" s="421"/>
      <c r="B94" s="422"/>
      <c r="C94" s="421"/>
      <c r="D94" s="423"/>
      <c r="E94" s="421"/>
      <c r="F94" s="421"/>
      <c r="G94" s="424"/>
      <c r="H94" s="424"/>
      <c r="I94" s="425"/>
      <c r="J94" s="424"/>
      <c r="K94" s="426"/>
      <c r="L94" s="424"/>
    </row>
    <row r="95" spans="1:12" ht="12.75">
      <c r="A95" s="421"/>
      <c r="B95" s="422"/>
      <c r="C95" s="421"/>
      <c r="D95" s="423"/>
      <c r="E95" s="421"/>
      <c r="F95" s="421"/>
      <c r="G95" s="424"/>
      <c r="H95" s="424"/>
      <c r="I95" s="425"/>
      <c r="J95" s="424"/>
      <c r="K95" s="426"/>
      <c r="L95" s="424"/>
    </row>
    <row r="96" spans="1:12" ht="12.75">
      <c r="A96" s="421"/>
      <c r="B96" s="422"/>
      <c r="C96" s="421"/>
      <c r="D96" s="423"/>
      <c r="E96" s="421"/>
      <c r="F96" s="421"/>
      <c r="G96" s="424"/>
      <c r="H96" s="424"/>
      <c r="I96" s="425"/>
      <c r="J96" s="424"/>
      <c r="K96" s="426"/>
      <c r="L96" s="424"/>
    </row>
    <row r="97" spans="1:12" ht="12.75">
      <c r="A97" s="421"/>
      <c r="B97" s="422"/>
      <c r="C97" s="421"/>
      <c r="D97" s="423"/>
      <c r="E97" s="421"/>
      <c r="F97" s="421"/>
      <c r="G97" s="424"/>
      <c r="H97" s="424"/>
      <c r="I97" s="425"/>
      <c r="J97" s="424"/>
      <c r="K97" s="426"/>
      <c r="L97" s="424"/>
    </row>
    <row r="98" spans="1:12" ht="12.75">
      <c r="A98" s="421"/>
      <c r="B98" s="422"/>
      <c r="C98" s="421"/>
      <c r="D98" s="423"/>
      <c r="E98" s="421"/>
      <c r="F98" s="421"/>
      <c r="G98" s="424"/>
      <c r="H98" s="424"/>
      <c r="I98" s="425"/>
      <c r="J98" s="424"/>
      <c r="K98" s="426"/>
      <c r="L98" s="424"/>
    </row>
    <row r="99" spans="1:12" ht="15">
      <c r="A99" s="1"/>
      <c r="B99" s="1"/>
      <c r="C99" s="1"/>
      <c r="D99" s="427"/>
      <c r="E99" s="1"/>
      <c r="F99" s="1"/>
      <c r="G99" s="2"/>
      <c r="H99" s="2"/>
      <c r="I99" s="3" t="s">
        <v>55</v>
      </c>
      <c r="J99" s="1783"/>
      <c r="K99" s="1783"/>
      <c r="L99" s="1783"/>
    </row>
    <row r="100" spans="4:12" ht="12.75">
      <c r="D100" s="427" t="s">
        <v>231</v>
      </c>
      <c r="G100" s="5"/>
      <c r="H100" s="5"/>
      <c r="J100" s="4"/>
      <c r="L100" s="4"/>
    </row>
    <row r="101" spans="1:12" ht="25.5">
      <c r="A101" s="1772" t="s">
        <v>2</v>
      </c>
      <c r="B101" s="1772"/>
      <c r="C101" s="1772"/>
      <c r="D101" s="6" t="s">
        <v>3</v>
      </c>
      <c r="E101" s="7" t="s">
        <v>4</v>
      </c>
      <c r="F101" s="7" t="s">
        <v>5</v>
      </c>
      <c r="G101" s="8" t="s">
        <v>6</v>
      </c>
      <c r="H101" s="9" t="s">
        <v>56</v>
      </c>
      <c r="I101" s="7" t="s">
        <v>8</v>
      </c>
      <c r="J101" s="7" t="s">
        <v>9</v>
      </c>
      <c r="K101" s="10" t="s">
        <v>10</v>
      </c>
      <c r="L101" s="7" t="s">
        <v>11</v>
      </c>
    </row>
    <row r="102" spans="1:12" ht="12.75">
      <c r="A102" s="1772"/>
      <c r="B102" s="1772"/>
      <c r="C102" s="1772"/>
      <c r="D102" s="428"/>
      <c r="E102" s="12"/>
      <c r="F102" s="12"/>
      <c r="G102" s="13"/>
      <c r="H102" s="13"/>
      <c r="I102" s="12" t="s">
        <v>12</v>
      </c>
      <c r="J102" s="12"/>
      <c r="K102" s="12"/>
      <c r="L102" s="14"/>
    </row>
    <row r="103" spans="1:12" ht="12.75">
      <c r="A103" s="15"/>
      <c r="B103" s="15"/>
      <c r="C103" s="15"/>
      <c r="D103" s="16"/>
      <c r="E103" s="16"/>
      <c r="F103" s="16"/>
      <c r="G103" s="17"/>
      <c r="H103" s="17"/>
      <c r="I103" s="16"/>
      <c r="J103" s="16"/>
      <c r="K103" s="16"/>
      <c r="L103" s="16"/>
    </row>
    <row r="104" spans="1:12" ht="12.75">
      <c r="A104" s="17"/>
      <c r="B104" s="16" t="s">
        <v>57</v>
      </c>
      <c r="C104" s="16" t="s">
        <v>58</v>
      </c>
      <c r="D104" s="16"/>
      <c r="E104" s="19"/>
      <c r="F104" s="19"/>
      <c r="G104" s="17"/>
      <c r="H104" s="17"/>
      <c r="I104" s="16"/>
      <c r="J104" s="16"/>
      <c r="K104" s="19"/>
      <c r="L104" s="16"/>
    </row>
    <row r="105" spans="1:13" ht="12.75">
      <c r="A105" s="1780" t="s">
        <v>236</v>
      </c>
      <c r="B105" s="1780"/>
      <c r="C105" s="1780"/>
      <c r="D105" s="281">
        <v>150</v>
      </c>
      <c r="E105" s="282"/>
      <c r="F105" s="282"/>
      <c r="G105" s="283"/>
      <c r="H105" s="284">
        <f>H106+H107+H108+H109</f>
        <v>11.79</v>
      </c>
      <c r="I105" s="285">
        <f>I106+I107+I108+I109</f>
        <v>5.535</v>
      </c>
      <c r="J105" s="285">
        <f>J106+J107+J108+J109</f>
        <v>6.6450000000000005</v>
      </c>
      <c r="K105" s="285">
        <f>K106+K107+K108+K109</f>
        <v>19.265</v>
      </c>
      <c r="L105" s="285">
        <f>L106+L107+L108+L109</f>
        <v>167.75</v>
      </c>
      <c r="M105" s="345"/>
    </row>
    <row r="106" spans="1:13" ht="12.75">
      <c r="A106" s="56" t="s">
        <v>18</v>
      </c>
      <c r="B106" s="57"/>
      <c r="C106" s="57"/>
      <c r="D106" s="58"/>
      <c r="E106" s="59">
        <v>0.13</v>
      </c>
      <c r="F106" s="60">
        <v>130</v>
      </c>
      <c r="G106" s="61">
        <v>72</v>
      </c>
      <c r="H106" s="62">
        <f>E106*G106</f>
        <v>9.36</v>
      </c>
      <c r="I106" s="63">
        <f>(2.9*F106)/100</f>
        <v>3.77</v>
      </c>
      <c r="J106" s="63">
        <f>(F106*2.5)/100</f>
        <v>3.25</v>
      </c>
      <c r="K106" s="63">
        <f>(4.8*F106)/100</f>
        <v>6.24</v>
      </c>
      <c r="L106" s="64">
        <f>(F106*60)/100</f>
        <v>78</v>
      </c>
      <c r="M106" s="345"/>
    </row>
    <row r="107" spans="1:12" ht="12.75">
      <c r="A107" s="429" t="s">
        <v>16</v>
      </c>
      <c r="B107" s="430"/>
      <c r="C107" s="431"/>
      <c r="D107" s="432"/>
      <c r="E107" s="562">
        <v>0.004</v>
      </c>
      <c r="F107" s="505">
        <v>4</v>
      </c>
      <c r="G107" s="32">
        <v>300</v>
      </c>
      <c r="H107" s="33">
        <f>E107*G107</f>
        <v>1.2</v>
      </c>
      <c r="I107" s="45">
        <f>(F107*1)/100</f>
        <v>0.04</v>
      </c>
      <c r="J107" s="45">
        <f>(F107*72.5)/100</f>
        <v>2.9</v>
      </c>
      <c r="K107" s="45">
        <f>(F107*1.4)/100</f>
        <v>0.055999999999999994</v>
      </c>
      <c r="L107" s="46">
        <f>(F107*662)/100</f>
        <v>26.48</v>
      </c>
    </row>
    <row r="108" spans="1:12" ht="12.75">
      <c r="A108" s="429" t="s">
        <v>237</v>
      </c>
      <c r="B108" s="430"/>
      <c r="C108" s="431"/>
      <c r="D108" s="432"/>
      <c r="E108" s="77">
        <v>0.015</v>
      </c>
      <c r="F108" s="78">
        <v>15</v>
      </c>
      <c r="G108" s="32">
        <v>64</v>
      </c>
      <c r="H108" s="33">
        <f>E108*G108</f>
        <v>0.96</v>
      </c>
      <c r="I108" s="435">
        <f>(F108*11.5)/100</f>
        <v>1.725</v>
      </c>
      <c r="J108" s="435">
        <f>(F108*3.3)/100</f>
        <v>0.495</v>
      </c>
      <c r="K108" s="435">
        <f>(66.5*F108)/100</f>
        <v>9.975</v>
      </c>
      <c r="L108" s="436">
        <f>(342*F108)/100</f>
        <v>51.3</v>
      </c>
    </row>
    <row r="109" spans="1:12" ht="12.75">
      <c r="A109" s="804" t="s">
        <v>17</v>
      </c>
      <c r="B109" s="805"/>
      <c r="C109" s="806"/>
      <c r="D109" s="807"/>
      <c r="E109" s="544">
        <v>0.003</v>
      </c>
      <c r="F109" s="545">
        <v>3</v>
      </c>
      <c r="G109" s="546">
        <v>90</v>
      </c>
      <c r="H109" s="62">
        <f>E109*G109</f>
        <v>0.27</v>
      </c>
      <c r="I109" s="358"/>
      <c r="J109" s="358"/>
      <c r="K109" s="358">
        <f>(F109*99.8)/100</f>
        <v>2.9939999999999998</v>
      </c>
      <c r="L109" s="359">
        <f>(F109*399)/100</f>
        <v>11.97</v>
      </c>
    </row>
    <row r="110" spans="1:12" ht="12.75">
      <c r="A110" s="1773" t="s">
        <v>61</v>
      </c>
      <c r="B110" s="1773"/>
      <c r="C110" s="1773"/>
      <c r="D110" s="65">
        <v>150</v>
      </c>
      <c r="E110" s="178"/>
      <c r="F110" s="178"/>
      <c r="G110" s="180"/>
      <c r="H110" s="348">
        <f>H111+H112+H113</f>
        <v>9.54</v>
      </c>
      <c r="I110" s="1396">
        <f>I111+I112+I113</f>
        <v>2.9</v>
      </c>
      <c r="J110" s="1396">
        <f>J111+J112+J113</f>
        <v>2.5</v>
      </c>
      <c r="K110" s="1396">
        <f>K111+K112+K113</f>
        <v>16.776</v>
      </c>
      <c r="L110" s="1396">
        <f>L111+L112+L113</f>
        <v>107.88</v>
      </c>
    </row>
    <row r="111" spans="1:12" ht="12.75">
      <c r="A111" s="1397" t="s">
        <v>238</v>
      </c>
      <c r="B111" s="1398"/>
      <c r="C111" s="893"/>
      <c r="D111" s="453"/>
      <c r="E111" s="1399">
        <v>0.002</v>
      </c>
      <c r="F111" s="1400">
        <v>2</v>
      </c>
      <c r="G111" s="1401">
        <v>630</v>
      </c>
      <c r="H111" s="938">
        <f>E111*G111</f>
        <v>1.26</v>
      </c>
      <c r="I111" s="1400"/>
      <c r="J111" s="1402"/>
      <c r="K111" s="1400"/>
      <c r="L111" s="1403"/>
    </row>
    <row r="112" spans="1:12" ht="12.75">
      <c r="A112" s="217" t="s">
        <v>17</v>
      </c>
      <c r="B112" s="218"/>
      <c r="C112" s="398"/>
      <c r="D112" s="71"/>
      <c r="E112" s="448">
        <v>0.012</v>
      </c>
      <c r="F112" s="449">
        <v>12</v>
      </c>
      <c r="G112" s="447">
        <v>90</v>
      </c>
      <c r="H112" s="447">
        <f>E112*G112</f>
        <v>1.08</v>
      </c>
      <c r="I112" s="80"/>
      <c r="J112" s="80"/>
      <c r="K112" s="80">
        <f>(F112*99.8)/100</f>
        <v>11.975999999999999</v>
      </c>
      <c r="L112" s="81">
        <f>(F112*399)/100</f>
        <v>47.88</v>
      </c>
    </row>
    <row r="113" spans="1:12" ht="12.75">
      <c r="A113" s="1404" t="s">
        <v>18</v>
      </c>
      <c r="B113" s="1405"/>
      <c r="C113" s="1406"/>
      <c r="D113" s="475"/>
      <c r="E113" s="1407">
        <v>0.1</v>
      </c>
      <c r="F113" s="1408">
        <v>100</v>
      </c>
      <c r="G113" s="1409">
        <v>72</v>
      </c>
      <c r="H113" s="1409">
        <f>E113*G113</f>
        <v>7.2</v>
      </c>
      <c r="I113" s="1410">
        <f>(2.9*F113)/100</f>
        <v>2.9</v>
      </c>
      <c r="J113" s="1410">
        <f>(F113*2.5)/100</f>
        <v>2.5</v>
      </c>
      <c r="K113" s="1410">
        <f>(4.8*F113)/100</f>
        <v>4.8</v>
      </c>
      <c r="L113" s="1411">
        <f>(F113*60)/100</f>
        <v>60</v>
      </c>
    </row>
    <row r="114" spans="1:12" ht="12.75">
      <c r="A114" s="1773" t="s">
        <v>63</v>
      </c>
      <c r="B114" s="1773"/>
      <c r="C114" s="1773"/>
      <c r="D114" s="450" t="s">
        <v>239</v>
      </c>
      <c r="E114" s="66"/>
      <c r="F114" s="21"/>
      <c r="G114" s="22"/>
      <c r="H114" s="23">
        <f>H115+H116</f>
        <v>4.16</v>
      </c>
      <c r="I114" s="294">
        <f>SUM(I115:I117)</f>
        <v>2.88</v>
      </c>
      <c r="J114" s="294">
        <f>SUM(J115:J117)</f>
        <v>1.505</v>
      </c>
      <c r="K114" s="294">
        <f>SUM(K115:K117)</f>
        <v>9.82</v>
      </c>
      <c r="L114" s="67">
        <f>SUM(L115:L117)</f>
        <v>64.75</v>
      </c>
    </row>
    <row r="115" spans="1:12" ht="12.75">
      <c r="A115" s="350" t="s">
        <v>42</v>
      </c>
      <c r="B115" s="451"/>
      <c r="C115" s="452"/>
      <c r="D115" s="453"/>
      <c r="E115" s="454">
        <v>0.02</v>
      </c>
      <c r="F115" s="73">
        <v>20</v>
      </c>
      <c r="G115" s="74">
        <v>64</v>
      </c>
      <c r="H115" s="79">
        <f>E115*G115</f>
        <v>1.28</v>
      </c>
      <c r="I115" s="455">
        <f>(F115*8)/100</f>
        <v>1.6</v>
      </c>
      <c r="J115" s="455">
        <f>(F115*1)/100</f>
        <v>0.2</v>
      </c>
      <c r="K115" s="455">
        <f>(F115*49.1)/100</f>
        <v>9.82</v>
      </c>
      <c r="L115" s="456">
        <f>(F115*238)/100</f>
        <v>47.6</v>
      </c>
    </row>
    <row r="116" spans="1:12" ht="12.75">
      <c r="A116" s="457" t="s">
        <v>65</v>
      </c>
      <c r="B116" s="458"/>
      <c r="C116" s="458"/>
      <c r="D116" s="459"/>
      <c r="E116" s="460">
        <v>0.006</v>
      </c>
      <c r="F116" s="461">
        <v>5</v>
      </c>
      <c r="G116" s="461">
        <v>480</v>
      </c>
      <c r="H116" s="461">
        <f>G116*E116</f>
        <v>2.88</v>
      </c>
      <c r="I116" s="461">
        <f>(25.6*F116)/100</f>
        <v>1.28</v>
      </c>
      <c r="J116" s="461">
        <f>(26.1*F116)/100</f>
        <v>1.305</v>
      </c>
      <c r="K116" s="461"/>
      <c r="L116" s="462">
        <f>(F116*343)/100</f>
        <v>17.15</v>
      </c>
    </row>
    <row r="117" ht="12.75">
      <c r="D117" s="4"/>
    </row>
    <row r="118" spans="1:12" ht="15.75">
      <c r="A118" s="115" t="s">
        <v>23</v>
      </c>
      <c r="B118" s="116"/>
      <c r="C118" s="116"/>
      <c r="D118" s="117"/>
      <c r="E118" s="118"/>
      <c r="F118" s="117"/>
      <c r="G118" s="119"/>
      <c r="H118" s="119">
        <f>H114+H110+H105</f>
        <v>25.49</v>
      </c>
      <c r="I118" s="117"/>
      <c r="J118" s="117"/>
      <c r="K118" s="463"/>
      <c r="L118" s="373"/>
    </row>
    <row r="119" spans="1:12" ht="15.75">
      <c r="A119" s="123"/>
      <c r="B119" s="124" t="s">
        <v>24</v>
      </c>
      <c r="C119" s="125"/>
      <c r="D119" s="126"/>
      <c r="E119" s="127"/>
      <c r="F119" s="126"/>
      <c r="G119" s="128"/>
      <c r="H119" s="128"/>
      <c r="I119" s="464">
        <f>I114+I110+I105</f>
        <v>11.315</v>
      </c>
      <c r="J119" s="464">
        <f>J114+J110+J105</f>
        <v>10.65</v>
      </c>
      <c r="K119" s="464">
        <f>K114+K110+K105</f>
        <v>45.861000000000004</v>
      </c>
      <c r="L119" s="464">
        <f>L114+L110+L105</f>
        <v>340.38</v>
      </c>
    </row>
    <row r="120" spans="1:12" ht="12.75">
      <c r="A120" s="465"/>
      <c r="B120" s="466"/>
      <c r="C120" s="466"/>
      <c r="D120" s="423"/>
      <c r="E120" s="467"/>
      <c r="F120" s="423"/>
      <c r="G120" s="424"/>
      <c r="H120" s="424"/>
      <c r="I120" s="423"/>
      <c r="J120" s="423"/>
      <c r="K120" s="468"/>
      <c r="L120" s="469">
        <f>L119/1400</f>
        <v>0.24312857142857142</v>
      </c>
    </row>
    <row r="121" spans="1:12" ht="12.75">
      <c r="A121" s="1784" t="s">
        <v>66</v>
      </c>
      <c r="B121" s="1784"/>
      <c r="C121" s="1784"/>
      <c r="D121" s="470"/>
      <c r="E121" s="470"/>
      <c r="F121" s="470"/>
      <c r="G121" s="471"/>
      <c r="H121" s="471"/>
      <c r="I121" s="423"/>
      <c r="J121" s="470"/>
      <c r="K121" s="472"/>
      <c r="L121" s="473"/>
    </row>
    <row r="122" spans="1:12" ht="12.75">
      <c r="A122" s="1774" t="s">
        <v>26</v>
      </c>
      <c r="B122" s="1774"/>
      <c r="C122" s="1774"/>
      <c r="D122" s="135">
        <v>100</v>
      </c>
      <c r="E122" s="136"/>
      <c r="F122" s="136"/>
      <c r="G122" s="137"/>
      <c r="H122" s="138">
        <f>H123</f>
        <v>7</v>
      </c>
      <c r="I122" s="139"/>
      <c r="J122" s="139"/>
      <c r="K122" s="139"/>
      <c r="L122" s="140">
        <f>L123</f>
        <v>46</v>
      </c>
    </row>
    <row r="123" spans="1:12" ht="12.75">
      <c r="A123" s="1778" t="s">
        <v>26</v>
      </c>
      <c r="B123" s="1778"/>
      <c r="C123" s="1778"/>
      <c r="D123" s="141"/>
      <c r="E123" s="142">
        <v>0.1</v>
      </c>
      <c r="F123" s="143">
        <v>100</v>
      </c>
      <c r="G123" s="144">
        <v>70</v>
      </c>
      <c r="H123" s="145">
        <f>E123*G123</f>
        <v>7</v>
      </c>
      <c r="I123" s="143"/>
      <c r="J123" s="143"/>
      <c r="K123" s="143">
        <f>(10.1*F123)/100</f>
        <v>10.1</v>
      </c>
      <c r="L123" s="146">
        <f>(F123*46)/100</f>
        <v>46</v>
      </c>
    </row>
    <row r="124" spans="1:12" ht="12.75">
      <c r="A124" s="457"/>
      <c r="B124" s="458"/>
      <c r="C124" s="474"/>
      <c r="D124" s="475"/>
      <c r="E124" s="476"/>
      <c r="F124" s="477"/>
      <c r="G124" s="478"/>
      <c r="H124" s="478"/>
      <c r="I124" s="479"/>
      <c r="J124" s="479"/>
      <c r="K124" s="479"/>
      <c r="L124" s="480"/>
    </row>
    <row r="125" spans="1:12" ht="15.75">
      <c r="A125" s="154" t="s">
        <v>27</v>
      </c>
      <c r="B125" s="155"/>
      <c r="C125" s="156"/>
      <c r="D125" s="157"/>
      <c r="E125" s="157"/>
      <c r="F125" s="157"/>
      <c r="G125" s="158"/>
      <c r="H125" s="159">
        <f>H122</f>
        <v>7</v>
      </c>
      <c r="I125" s="157"/>
      <c r="J125" s="157"/>
      <c r="K125" s="157"/>
      <c r="L125" s="481">
        <f>L122/1400</f>
        <v>0.032857142857142856</v>
      </c>
    </row>
    <row r="126" spans="1:12" ht="15.75">
      <c r="A126" s="482"/>
      <c r="B126" s="124" t="s">
        <v>24</v>
      </c>
      <c r="C126" s="124"/>
      <c r="D126" s="301"/>
      <c r="E126" s="483"/>
      <c r="F126" s="483"/>
      <c r="G126" s="302"/>
      <c r="H126" s="302"/>
      <c r="I126" s="484"/>
      <c r="J126" s="484"/>
      <c r="K126" s="484"/>
      <c r="L126" s="485"/>
    </row>
    <row r="127" spans="1:12" ht="12.75">
      <c r="A127" s="486" t="s">
        <v>67</v>
      </c>
      <c r="B127" s="65" t="s">
        <v>68</v>
      </c>
      <c r="C127" s="178"/>
      <c r="D127" s="179"/>
      <c r="E127" s="179"/>
      <c r="F127" s="179"/>
      <c r="G127" s="180"/>
      <c r="H127" s="180"/>
      <c r="I127" s="65"/>
      <c r="J127" s="65"/>
      <c r="K127" s="179"/>
      <c r="L127" s="487"/>
    </row>
    <row r="128" spans="1:12" ht="12.75" customHeight="1">
      <c r="A128" s="1774"/>
      <c r="B128" s="1774"/>
      <c r="C128" s="1774"/>
      <c r="D128" s="488"/>
      <c r="E128" s="489"/>
      <c r="F128" s="136"/>
      <c r="G128" s="137"/>
      <c r="H128" s="138"/>
      <c r="I128" s="139"/>
      <c r="J128" s="139"/>
      <c r="K128" s="139"/>
      <c r="L128" s="140"/>
    </row>
    <row r="129" spans="1:12" ht="12.75">
      <c r="A129" s="1780" t="s">
        <v>240</v>
      </c>
      <c r="B129" s="1780"/>
      <c r="C129" s="1780"/>
      <c r="D129" s="490" t="s">
        <v>241</v>
      </c>
      <c r="E129" s="491"/>
      <c r="F129" s="492"/>
      <c r="G129" s="283"/>
      <c r="H129" s="284">
        <f>SUM(H130:H135)</f>
        <v>12.330000000000002</v>
      </c>
      <c r="I129" s="285">
        <f>SUM(I130:I135)</f>
        <v>2.309</v>
      </c>
      <c r="J129" s="285">
        <f>SUM(J130:J135)</f>
        <v>4.56</v>
      </c>
      <c r="K129" s="285">
        <f>SUM(K130:K135)</f>
        <v>16.329</v>
      </c>
      <c r="L129" s="285">
        <f>SUM(L130:L135)</f>
        <v>116.19</v>
      </c>
    </row>
    <row r="130" spans="1:14" ht="12.75" customHeight="1">
      <c r="A130" s="340" t="s">
        <v>71</v>
      </c>
      <c r="B130" s="493"/>
      <c r="C130" s="493"/>
      <c r="D130" s="494"/>
      <c r="E130" s="190"/>
      <c r="F130" s="191"/>
      <c r="G130" s="192"/>
      <c r="H130" s="193"/>
      <c r="I130" s="495"/>
      <c r="J130" s="495"/>
      <c r="K130" s="495"/>
      <c r="L130" s="496"/>
      <c r="N130" s="221"/>
    </row>
    <row r="131" spans="1:14" ht="12.75">
      <c r="A131" s="1748" t="s">
        <v>16</v>
      </c>
      <c r="B131" s="1749"/>
      <c r="C131" s="1749"/>
      <c r="D131" s="1750"/>
      <c r="E131" s="1751">
        <v>0.003</v>
      </c>
      <c r="F131" s="1752">
        <v>3</v>
      </c>
      <c r="G131" s="1753">
        <v>300</v>
      </c>
      <c r="H131" s="1754">
        <f>E131*G131</f>
        <v>0.9</v>
      </c>
      <c r="I131" s="1755">
        <f>(F131*1)/100</f>
        <v>0.03</v>
      </c>
      <c r="J131" s="1755">
        <f>(F131*72.5)/100</f>
        <v>2.175</v>
      </c>
      <c r="K131" s="1755">
        <f>(F131*1.4)/100</f>
        <v>0.041999999999999996</v>
      </c>
      <c r="L131" s="1756">
        <f>(F131*662)/100</f>
        <v>19.86</v>
      </c>
      <c r="M131" s="1757"/>
      <c r="N131" s="1758"/>
    </row>
    <row r="132" spans="1:14" ht="12.75">
      <c r="A132" s="1748" t="s">
        <v>32</v>
      </c>
      <c r="B132" s="1749"/>
      <c r="C132" s="1759"/>
      <c r="D132" s="1760"/>
      <c r="E132" s="1751">
        <v>0.15</v>
      </c>
      <c r="F132" s="1752">
        <v>90</v>
      </c>
      <c r="G132" s="1753">
        <v>56</v>
      </c>
      <c r="H132" s="1761">
        <f>E132*G132</f>
        <v>8.4</v>
      </c>
      <c r="I132" s="1762">
        <f>(F132*2)/100</f>
        <v>1.8</v>
      </c>
      <c r="J132" s="1762">
        <f>(F132*0.4)/100</f>
        <v>0.36</v>
      </c>
      <c r="K132" s="1762">
        <f>(F132*16.3)/100</f>
        <v>14.67</v>
      </c>
      <c r="L132" s="1763">
        <f>(F132*77)/100</f>
        <v>69.3</v>
      </c>
      <c r="M132" s="1757"/>
      <c r="N132" s="1758"/>
    </row>
    <row r="133" spans="1:14" ht="12.75">
      <c r="A133" s="1764" t="s">
        <v>33</v>
      </c>
      <c r="B133" s="1765"/>
      <c r="C133" s="1766"/>
      <c r="D133" s="1767"/>
      <c r="E133" s="1768">
        <v>0.01</v>
      </c>
      <c r="F133" s="1762">
        <v>8</v>
      </c>
      <c r="G133" s="1769">
        <v>63</v>
      </c>
      <c r="H133" s="1770">
        <f>E133*G133</f>
        <v>0.63</v>
      </c>
      <c r="I133" s="1762">
        <f>(F133*1.4)/100</f>
        <v>0.11199999999999999</v>
      </c>
      <c r="J133" s="1762">
        <f>(F133*0.2)/100</f>
        <v>0.016</v>
      </c>
      <c r="K133" s="1762">
        <f>(F133*8.2)/100</f>
        <v>0.6559999999999999</v>
      </c>
      <c r="L133" s="1771">
        <f>(F133*41)/100</f>
        <v>3.28</v>
      </c>
      <c r="M133" s="1757"/>
      <c r="N133" s="1758"/>
    </row>
    <row r="134" spans="1:14" ht="12.75">
      <c r="A134" s="340" t="s">
        <v>34</v>
      </c>
      <c r="B134" s="341"/>
      <c r="C134" s="502"/>
      <c r="D134" s="503"/>
      <c r="E134" s="212">
        <v>0.012</v>
      </c>
      <c r="F134" s="213">
        <v>9</v>
      </c>
      <c r="G134" s="214">
        <v>70</v>
      </c>
      <c r="H134" s="215">
        <f>G134*E134</f>
        <v>0.84</v>
      </c>
      <c r="I134" s="213">
        <f>(F134*1.3)/100</f>
        <v>0.117</v>
      </c>
      <c r="J134" s="213">
        <f>(F134*0.1)/100</f>
        <v>0.009000000000000001</v>
      </c>
      <c r="K134" s="213">
        <f>(F134*6.9)/100</f>
        <v>0.621</v>
      </c>
      <c r="L134" s="220">
        <f>(F134*35)/100</f>
        <v>3.15</v>
      </c>
      <c r="N134" s="221"/>
    </row>
    <row r="135" spans="1:14" ht="12.75">
      <c r="A135" s="508" t="s">
        <v>72</v>
      </c>
      <c r="B135" s="509"/>
      <c r="C135" s="509"/>
      <c r="D135" s="503"/>
      <c r="E135" s="510">
        <v>0.01</v>
      </c>
      <c r="F135" s="511">
        <v>10</v>
      </c>
      <c r="G135" s="501">
        <v>156</v>
      </c>
      <c r="H135" s="501">
        <f>E135*G135</f>
        <v>1.56</v>
      </c>
      <c r="I135" s="512">
        <f>(2.5*F135)/100</f>
        <v>0.25</v>
      </c>
      <c r="J135" s="512">
        <f>(20*F135)/100</f>
        <v>2</v>
      </c>
      <c r="K135" s="512">
        <f>(3.4*F135)/100</f>
        <v>0.34</v>
      </c>
      <c r="L135" s="274">
        <f>(206*F135)/100</f>
        <v>20.6</v>
      </c>
      <c r="N135" s="221"/>
    </row>
    <row r="136" spans="1:14" ht="27.75" customHeight="1">
      <c r="A136" s="1785" t="s">
        <v>73</v>
      </c>
      <c r="B136" s="1785"/>
      <c r="C136" s="1785"/>
      <c r="D136" s="135" t="s">
        <v>99</v>
      </c>
      <c r="E136" s="236"/>
      <c r="F136" s="513"/>
      <c r="G136" s="514"/>
      <c r="H136" s="106">
        <f>H137+H138+H139+H140+H141+H142+H143+H145+H146+H147+H144</f>
        <v>29.617</v>
      </c>
      <c r="I136" s="108">
        <f>I137+I138+I139+I140+I141+I142+I143+I145+I146+I147+I144</f>
        <v>14.969999999999999</v>
      </c>
      <c r="J136" s="108">
        <f>J137+J138+J139+J140+J141+J142+J143+J145+J146+J147+J144</f>
        <v>20.064999999999998</v>
      </c>
      <c r="K136" s="108">
        <f>K137+K138+K139+K140+K141+K142+K143+K145+K146+K147+K144</f>
        <v>2.944</v>
      </c>
      <c r="L136" s="108">
        <f>L137+L138+L139+L140+L141+L142+L143+L145+L146+L147+L144</f>
        <v>253.63999999999993</v>
      </c>
      <c r="N136" s="221"/>
    </row>
    <row r="137" spans="1:14" ht="12.75">
      <c r="A137" s="340" t="s">
        <v>75</v>
      </c>
      <c r="B137" s="493"/>
      <c r="C137" s="493"/>
      <c r="D137" s="515"/>
      <c r="E137" s="190">
        <v>0.09</v>
      </c>
      <c r="F137" s="191">
        <v>65</v>
      </c>
      <c r="G137" s="192">
        <v>240</v>
      </c>
      <c r="H137" s="193">
        <f>G137*E137</f>
        <v>21.599999999999998</v>
      </c>
      <c r="I137" s="495">
        <f>(F137*18.2)/100</f>
        <v>11.83</v>
      </c>
      <c r="J137" s="495">
        <f>(F137*18.4)/100</f>
        <v>11.96</v>
      </c>
      <c r="K137" s="495"/>
      <c r="L137" s="496">
        <f>(F137*238)/100</f>
        <v>154.7</v>
      </c>
      <c r="N137" s="221"/>
    </row>
    <row r="138" spans="1:14" ht="12.75">
      <c r="A138" s="516" t="s">
        <v>16</v>
      </c>
      <c r="B138" s="341"/>
      <c r="C138" s="341"/>
      <c r="D138" s="517"/>
      <c r="E138" s="448">
        <v>0.002</v>
      </c>
      <c r="F138" s="78">
        <v>2</v>
      </c>
      <c r="G138" s="79">
        <v>300</v>
      </c>
      <c r="H138" s="79">
        <f aca="true" t="shared" si="0" ref="H138:H144">E138*G138</f>
        <v>0.6</v>
      </c>
      <c r="I138" s="518">
        <f>(F138*1)/100</f>
        <v>0.02</v>
      </c>
      <c r="J138" s="518">
        <f>(F138*72.5)/100</f>
        <v>1.45</v>
      </c>
      <c r="K138" s="518">
        <f>(F138*1.4)/100</f>
        <v>0.027999999999999997</v>
      </c>
      <c r="L138" s="519">
        <f>(F138*662)/100</f>
        <v>13.24</v>
      </c>
      <c r="N138" s="221"/>
    </row>
    <row r="139" spans="1:14" ht="12.75">
      <c r="A139" s="429" t="s">
        <v>76</v>
      </c>
      <c r="B139" s="430"/>
      <c r="C139" s="430"/>
      <c r="D139" s="520"/>
      <c r="E139" s="212">
        <v>0.002</v>
      </c>
      <c r="F139" s="213">
        <v>2</v>
      </c>
      <c r="G139" s="342">
        <v>49</v>
      </c>
      <c r="H139" s="507">
        <f t="shared" si="0"/>
        <v>0.098</v>
      </c>
      <c r="I139" s="455">
        <f>(12.7*F139)/100</f>
        <v>0.254</v>
      </c>
      <c r="J139" s="455">
        <f>(F139*11.5)/100</f>
        <v>0.23</v>
      </c>
      <c r="K139" s="455">
        <f>(F139*0.7)/100</f>
        <v>0.014000000000000002</v>
      </c>
      <c r="L139" s="456">
        <f>(157*F139)/100</f>
        <v>3.14</v>
      </c>
      <c r="N139" s="221"/>
    </row>
    <row r="140" spans="1:14" ht="12.75">
      <c r="A140" s="340" t="s">
        <v>37</v>
      </c>
      <c r="B140" s="341"/>
      <c r="C140" s="341"/>
      <c r="D140" s="517"/>
      <c r="E140" s="448">
        <v>0.002</v>
      </c>
      <c r="F140" s="80">
        <v>2</v>
      </c>
      <c r="G140" s="79">
        <v>129</v>
      </c>
      <c r="H140" s="79">
        <f t="shared" si="0"/>
        <v>0.258</v>
      </c>
      <c r="I140" s="521"/>
      <c r="J140" s="455">
        <f>(F140*99.9)/100</f>
        <v>1.9980000000000002</v>
      </c>
      <c r="K140" s="80"/>
      <c r="L140" s="522">
        <f>(F140*899)/100</f>
        <v>17.98</v>
      </c>
      <c r="N140" s="221"/>
    </row>
    <row r="141" spans="1:14" ht="12.75">
      <c r="A141" s="217" t="s">
        <v>18</v>
      </c>
      <c r="B141" s="218"/>
      <c r="C141" s="218"/>
      <c r="D141" s="219"/>
      <c r="E141" s="77">
        <v>0.02</v>
      </c>
      <c r="F141" s="78">
        <v>20</v>
      </c>
      <c r="G141" s="53">
        <v>72</v>
      </c>
      <c r="H141" s="97">
        <f t="shared" si="0"/>
        <v>1.44</v>
      </c>
      <c r="I141" s="63">
        <f>(2.9*F141)/100</f>
        <v>0.58</v>
      </c>
      <c r="J141" s="63">
        <f>(F141*2.5)/100</f>
        <v>0.5</v>
      </c>
      <c r="K141" s="63">
        <f>(4.8*F141)/100</f>
        <v>0.96</v>
      </c>
      <c r="L141" s="64">
        <f>(F141*60)/100</f>
        <v>12</v>
      </c>
      <c r="N141" s="221"/>
    </row>
    <row r="142" spans="1:14" ht="12.75">
      <c r="A142" s="523" t="s">
        <v>46</v>
      </c>
      <c r="B142" s="524"/>
      <c r="C142" s="525"/>
      <c r="D142" s="526"/>
      <c r="E142" s="527">
        <v>0.011</v>
      </c>
      <c r="F142" s="528">
        <v>10</v>
      </c>
      <c r="G142" s="229">
        <v>230</v>
      </c>
      <c r="H142" s="529">
        <f t="shared" si="0"/>
        <v>2.53</v>
      </c>
      <c r="I142" s="530">
        <f>(12.7*F142)/100</f>
        <v>1.27</v>
      </c>
      <c r="J142" s="530">
        <f>(F142*11.5)/100</f>
        <v>1.15</v>
      </c>
      <c r="K142" s="530">
        <f>(F142*0.7)/100</f>
        <v>0.07</v>
      </c>
      <c r="L142" s="531">
        <f>(157*F142)/100</f>
        <v>15.7</v>
      </c>
      <c r="N142" s="221"/>
    </row>
    <row r="143" spans="1:14" ht="12.75">
      <c r="A143" s="68" t="s">
        <v>77</v>
      </c>
      <c r="B143" s="69"/>
      <c r="C143" s="69"/>
      <c r="D143" s="289"/>
      <c r="E143" s="77">
        <v>0.01</v>
      </c>
      <c r="F143" s="78">
        <v>8</v>
      </c>
      <c r="G143" s="214">
        <v>63</v>
      </c>
      <c r="H143" s="215">
        <f t="shared" si="0"/>
        <v>0.63</v>
      </c>
      <c r="I143" s="213">
        <f>(F143*1.4)/100</f>
        <v>0.11199999999999999</v>
      </c>
      <c r="J143" s="213">
        <f>(F143*0.2)/100</f>
        <v>0.016</v>
      </c>
      <c r="K143" s="213">
        <f>(F143*8.2)/100</f>
        <v>0.6559999999999999</v>
      </c>
      <c r="L143" s="216">
        <f>(F143*41)/100</f>
        <v>3.28</v>
      </c>
      <c r="N143" s="221"/>
    </row>
    <row r="144" spans="1:14" ht="12.75">
      <c r="A144" s="516" t="s">
        <v>16</v>
      </c>
      <c r="B144" s="341"/>
      <c r="C144" s="341"/>
      <c r="D144" s="517"/>
      <c r="E144" s="448">
        <v>0.003</v>
      </c>
      <c r="F144" s="78">
        <v>3</v>
      </c>
      <c r="G144" s="79">
        <v>300</v>
      </c>
      <c r="H144" s="79">
        <f t="shared" si="0"/>
        <v>0.9</v>
      </c>
      <c r="I144" s="518">
        <f>(F144*1)/100</f>
        <v>0.03</v>
      </c>
      <c r="J144" s="518">
        <f>(F144*72.5)/100</f>
        <v>2.175</v>
      </c>
      <c r="K144" s="518">
        <f>(F144*1.4)/100</f>
        <v>0.041999999999999996</v>
      </c>
      <c r="L144" s="519">
        <f>(F144*662)/100</f>
        <v>19.86</v>
      </c>
      <c r="N144" s="221"/>
    </row>
    <row r="145" spans="1:14" ht="12.75">
      <c r="A145" s="68" t="s">
        <v>34</v>
      </c>
      <c r="B145" s="69"/>
      <c r="C145" s="69"/>
      <c r="D145" s="289"/>
      <c r="E145" s="77">
        <v>0.015</v>
      </c>
      <c r="F145" s="78">
        <v>11</v>
      </c>
      <c r="G145" s="214">
        <v>70</v>
      </c>
      <c r="H145" s="215">
        <f>G145*E145</f>
        <v>1.05</v>
      </c>
      <c r="I145" s="213">
        <f>(F145*1.3)/100</f>
        <v>0.14300000000000002</v>
      </c>
      <c r="J145" s="213">
        <f>(F145*0.1)/100</f>
        <v>0.011000000000000001</v>
      </c>
      <c r="K145" s="213">
        <f>(F145*6.9)/100</f>
        <v>0.759</v>
      </c>
      <c r="L145" s="220">
        <f>(F145*35)/100</f>
        <v>3.85</v>
      </c>
      <c r="N145" s="221"/>
    </row>
    <row r="146" spans="1:14" ht="12.75">
      <c r="A146" s="68" t="s">
        <v>78</v>
      </c>
      <c r="B146" s="69"/>
      <c r="C146" s="69"/>
      <c r="D146" s="289"/>
      <c r="E146" s="77">
        <v>0.002</v>
      </c>
      <c r="F146" s="78">
        <v>2</v>
      </c>
      <c r="G146" s="507">
        <v>133</v>
      </c>
      <c r="H146" s="507">
        <f>E146*G146</f>
        <v>0.266</v>
      </c>
      <c r="I146" s="256">
        <f>(4.8*F146)/100</f>
        <v>0.096</v>
      </c>
      <c r="J146" s="256"/>
      <c r="K146" s="256">
        <f>(19*F146)/100</f>
        <v>0.38</v>
      </c>
      <c r="L146" s="532">
        <f>(102*F146)/100</f>
        <v>2.04</v>
      </c>
      <c r="N146" s="221"/>
    </row>
    <row r="147" spans="1:14" ht="12.75">
      <c r="A147" s="523" t="s">
        <v>76</v>
      </c>
      <c r="B147" s="524"/>
      <c r="C147" s="525"/>
      <c r="D147" s="526"/>
      <c r="E147" s="527">
        <v>0.005</v>
      </c>
      <c r="F147" s="528">
        <v>5</v>
      </c>
      <c r="G147" s="229">
        <v>49</v>
      </c>
      <c r="H147" s="529">
        <f>E147*G147</f>
        <v>0.245</v>
      </c>
      <c r="I147" s="530">
        <f>(12.7*F147)/100</f>
        <v>0.635</v>
      </c>
      <c r="J147" s="530">
        <f>(F147*11.5)/100</f>
        <v>0.575</v>
      </c>
      <c r="K147" s="530">
        <f>(F147*0.7)/100</f>
        <v>0.035</v>
      </c>
      <c r="L147" s="531">
        <f>(157*F147)/100</f>
        <v>7.85</v>
      </c>
      <c r="N147" s="221"/>
    </row>
    <row r="148" spans="1:14" ht="12.75">
      <c r="A148" s="1780" t="s">
        <v>79</v>
      </c>
      <c r="B148" s="1780"/>
      <c r="C148" s="1780"/>
      <c r="D148" s="281">
        <v>110</v>
      </c>
      <c r="E148" s="282"/>
      <c r="F148" s="282"/>
      <c r="G148" s="283"/>
      <c r="H148" s="284">
        <f>H149+H150</f>
        <v>5.275</v>
      </c>
      <c r="I148" s="285">
        <f>SUM(I149:I150)</f>
        <v>3.88</v>
      </c>
      <c r="J148" s="285">
        <f>SUM(J149:J150)</f>
        <v>2.63</v>
      </c>
      <c r="K148" s="285">
        <f>SUM(K149:K150)</f>
        <v>24.402</v>
      </c>
      <c r="L148" s="285">
        <f>SUM(L149:L150)</f>
        <v>138.16</v>
      </c>
      <c r="N148" s="221"/>
    </row>
    <row r="149" spans="1:14" ht="12.75">
      <c r="A149" s="340" t="s">
        <v>80</v>
      </c>
      <c r="B149" s="341"/>
      <c r="C149" s="341"/>
      <c r="D149" s="517"/>
      <c r="E149" s="533">
        <v>0.035</v>
      </c>
      <c r="F149" s="534">
        <v>35</v>
      </c>
      <c r="G149" s="535">
        <v>125</v>
      </c>
      <c r="H149" s="535">
        <f>E149*G149</f>
        <v>4.375</v>
      </c>
      <c r="I149" s="85">
        <f>(11*F149)/100</f>
        <v>3.85</v>
      </c>
      <c r="J149" s="85">
        <f>(1.3*F149)/100</f>
        <v>0.455</v>
      </c>
      <c r="K149" s="85">
        <f>(69.6*F149)/100</f>
        <v>24.36</v>
      </c>
      <c r="L149" s="86">
        <f>(338*F149)/100</f>
        <v>118.3</v>
      </c>
      <c r="N149" s="221"/>
    </row>
    <row r="150" spans="1:14" ht="12.75">
      <c r="A150" s="68" t="s">
        <v>16</v>
      </c>
      <c r="B150" s="341"/>
      <c r="C150" s="341"/>
      <c r="D150" s="517"/>
      <c r="E150" s="536">
        <v>0.003</v>
      </c>
      <c r="F150" s="537">
        <v>3</v>
      </c>
      <c r="G150" s="79">
        <v>300</v>
      </c>
      <c r="H150" s="290">
        <f>G150*E150</f>
        <v>0.9</v>
      </c>
      <c r="I150" s="45">
        <f>(F150*1)/100</f>
        <v>0.03</v>
      </c>
      <c r="J150" s="45">
        <f>(F150*72.5)/100</f>
        <v>2.175</v>
      </c>
      <c r="K150" s="45">
        <f>(F150*1.4)/100</f>
        <v>0.041999999999999996</v>
      </c>
      <c r="L150" s="46">
        <f>(F150*662)/100</f>
        <v>19.86</v>
      </c>
      <c r="N150" s="221"/>
    </row>
    <row r="151" spans="1:14" ht="12.75">
      <c r="A151" s="1776" t="s">
        <v>81</v>
      </c>
      <c r="B151" s="1776"/>
      <c r="C151" s="1776"/>
      <c r="D151" s="103">
        <v>150</v>
      </c>
      <c r="E151" s="331"/>
      <c r="F151" s="331"/>
      <c r="G151" s="105"/>
      <c r="H151" s="106">
        <f>H152+H153</f>
        <v>3.24</v>
      </c>
      <c r="I151" s="108">
        <f>I152+I153</f>
        <v>0.19200000000000003</v>
      </c>
      <c r="J151" s="108">
        <f>J152+J153</f>
        <v>0.084</v>
      </c>
      <c r="K151" s="108">
        <f>K152+K153</f>
        <v>14.663999999999998</v>
      </c>
      <c r="L151" s="108">
        <f>L152+L153</f>
        <v>60.96</v>
      </c>
      <c r="N151" s="206"/>
    </row>
    <row r="152" spans="1:14" ht="12.75">
      <c r="A152" s="538" t="s">
        <v>82</v>
      </c>
      <c r="B152" s="539"/>
      <c r="C152" s="540"/>
      <c r="D152" s="541"/>
      <c r="E152" s="261">
        <v>0.012</v>
      </c>
      <c r="F152" s="262">
        <v>12</v>
      </c>
      <c r="G152" s="112">
        <v>180</v>
      </c>
      <c r="H152" s="113">
        <f>E152*G152</f>
        <v>2.16</v>
      </c>
      <c r="I152" s="111">
        <f>(F152*1.6)/100</f>
        <v>0.19200000000000003</v>
      </c>
      <c r="J152" s="111">
        <f>(0.7*F152)/100</f>
        <v>0.084</v>
      </c>
      <c r="K152" s="111">
        <f>(22.4*F152)/100</f>
        <v>2.6879999999999997</v>
      </c>
      <c r="L152" s="263">
        <f>(109*F152)/100</f>
        <v>13.08</v>
      </c>
      <c r="N152" s="221"/>
    </row>
    <row r="153" spans="1:14" ht="12.75">
      <c r="A153" s="340" t="s">
        <v>17</v>
      </c>
      <c r="B153" s="493"/>
      <c r="C153" s="542"/>
      <c r="D153" s="543"/>
      <c r="E153" s="544">
        <v>0.012</v>
      </c>
      <c r="F153" s="545">
        <v>12</v>
      </c>
      <c r="G153" s="546">
        <v>90</v>
      </c>
      <c r="H153" s="33">
        <f>E153*G153</f>
        <v>1.08</v>
      </c>
      <c r="I153" s="358"/>
      <c r="J153" s="358"/>
      <c r="K153" s="358">
        <f>(F153*99.8)/100</f>
        <v>11.975999999999999</v>
      </c>
      <c r="L153" s="359">
        <f>(F153*399)/100</f>
        <v>47.88</v>
      </c>
      <c r="N153" s="221"/>
    </row>
    <row r="154" spans="1:12" ht="12.75">
      <c r="A154" s="1773" t="s">
        <v>41</v>
      </c>
      <c r="B154" s="1773"/>
      <c r="C154" s="1773"/>
      <c r="D154" s="927">
        <v>30</v>
      </c>
      <c r="E154" s="66">
        <v>0.03</v>
      </c>
      <c r="F154" s="21">
        <v>30</v>
      </c>
      <c r="G154" s="22">
        <v>35</v>
      </c>
      <c r="H154" s="23">
        <f>E154*G154</f>
        <v>1.05</v>
      </c>
      <c r="I154" s="294">
        <f>(6.6*F154)/100</f>
        <v>1.98</v>
      </c>
      <c r="J154" s="294">
        <f>(1.2*F154)/100</f>
        <v>0.36</v>
      </c>
      <c r="K154" s="294">
        <f>(33.4*F154)/100</f>
        <v>10.02</v>
      </c>
      <c r="L154" s="67">
        <f>(174*F154)/100</f>
        <v>52.2</v>
      </c>
    </row>
    <row r="155" spans="1:12" ht="12.75">
      <c r="A155" s="1773" t="s">
        <v>42</v>
      </c>
      <c r="B155" s="1773"/>
      <c r="C155" s="1773"/>
      <c r="D155" s="853">
        <v>20</v>
      </c>
      <c r="E155" s="66">
        <v>0.02</v>
      </c>
      <c r="F155" s="21">
        <v>20</v>
      </c>
      <c r="G155" s="22">
        <v>64</v>
      </c>
      <c r="H155" s="23">
        <f>E155*G155</f>
        <v>1.28</v>
      </c>
      <c r="I155" s="294">
        <f>(F155*8)/100</f>
        <v>1.6</v>
      </c>
      <c r="J155" s="294">
        <f>(F155*1)/100</f>
        <v>0.2</v>
      </c>
      <c r="K155" s="294">
        <f>(F155*49.1)/100</f>
        <v>9.82</v>
      </c>
      <c r="L155" s="67">
        <f>(F155*238)/100</f>
        <v>47.6</v>
      </c>
    </row>
    <row r="156" spans="1:12" ht="12.75">
      <c r="A156" s="27"/>
      <c r="B156" s="286"/>
      <c r="C156" s="286"/>
      <c r="D156" s="287"/>
      <c r="E156" s="28"/>
      <c r="F156" s="28"/>
      <c r="G156" s="150"/>
      <c r="H156" s="150"/>
      <c r="I156" s="133"/>
      <c r="J156" s="133"/>
      <c r="K156" s="133"/>
      <c r="L156" s="547"/>
    </row>
    <row r="157" spans="1:12" ht="15.75">
      <c r="A157" s="296"/>
      <c r="B157" s="155"/>
      <c r="C157" s="297" t="s">
        <v>43</v>
      </c>
      <c r="D157" s="298"/>
      <c r="E157" s="297"/>
      <c r="F157" s="297"/>
      <c r="G157" s="159"/>
      <c r="H157" s="159">
        <f>H155+H154+H151+H148+H136+H129</f>
        <v>52.792</v>
      </c>
      <c r="I157" s="297"/>
      <c r="J157" s="157"/>
      <c r="K157" s="155"/>
      <c r="L157" s="548"/>
    </row>
    <row r="158" spans="1:12" ht="15.75">
      <c r="A158" s="549"/>
      <c r="B158" s="550" t="s">
        <v>24</v>
      </c>
      <c r="C158" s="550"/>
      <c r="D158" s="551"/>
      <c r="E158" s="550"/>
      <c r="F158" s="550"/>
      <c r="G158" s="552"/>
      <c r="H158" s="552"/>
      <c r="I158" s="553">
        <f>I155+I154+I151+I148+I136+I129</f>
        <v>24.931</v>
      </c>
      <c r="J158" s="553">
        <f>J155+J154+J151+J148+J136+J129</f>
        <v>27.898999999999997</v>
      </c>
      <c r="K158" s="553">
        <f>K155+K154+K151+K148+K136+K129</f>
        <v>78.179</v>
      </c>
      <c r="L158" s="553">
        <f>L155+L154+L151+L148+L136+L129</f>
        <v>668.75</v>
      </c>
    </row>
    <row r="159" spans="1:12" ht="12.75">
      <c r="A159" s="28"/>
      <c r="B159" s="28"/>
      <c r="C159" s="28"/>
      <c r="D159" s="149"/>
      <c r="E159" s="28"/>
      <c r="F159" s="28"/>
      <c r="G159" s="150"/>
      <c r="H159" s="150"/>
      <c r="I159" s="28"/>
      <c r="J159" s="149"/>
      <c r="K159" s="28"/>
      <c r="L159" s="554">
        <f>L158/1400</f>
        <v>0.47767857142857145</v>
      </c>
    </row>
    <row r="160" spans="1:14" ht="15.75">
      <c r="A160" s="18" t="s">
        <v>44</v>
      </c>
      <c r="B160" s="28"/>
      <c r="C160" s="555"/>
      <c r="D160" s="149"/>
      <c r="E160" s="28"/>
      <c r="F160" s="28"/>
      <c r="G160" s="28"/>
      <c r="H160" s="28"/>
      <c r="I160" s="133"/>
      <c r="J160" s="133"/>
      <c r="K160" s="150"/>
      <c r="L160" s="152"/>
      <c r="N160" s="466"/>
    </row>
    <row r="161" spans="1:26" ht="12.75">
      <c r="A161" s="1780" t="s">
        <v>83</v>
      </c>
      <c r="B161" s="1780"/>
      <c r="C161" s="1780"/>
      <c r="D161" s="556">
        <v>90</v>
      </c>
      <c r="E161" s="282"/>
      <c r="F161" s="282"/>
      <c r="G161" s="283"/>
      <c r="H161" s="284">
        <f>SUM(H162:H169)</f>
        <v>16.866</v>
      </c>
      <c r="I161" s="285">
        <f>SUM(I162:I168)</f>
        <v>12.382000000000001</v>
      </c>
      <c r="J161" s="285">
        <f>SUM(J162:J168)</f>
        <v>12.556000000000001</v>
      </c>
      <c r="K161" s="285">
        <f>SUM(K162:K168)</f>
        <v>10.637</v>
      </c>
      <c r="L161" s="285">
        <f>SUM(L162:L168)</f>
        <v>205.92</v>
      </c>
      <c r="N161" s="206"/>
      <c r="O161" s="206"/>
      <c r="P161" s="206"/>
      <c r="Q161" s="206"/>
      <c r="R161" s="207"/>
      <c r="S161" s="57"/>
      <c r="T161" s="57"/>
      <c r="U161" s="209"/>
      <c r="V161" s="210"/>
      <c r="W161" s="211"/>
      <c r="X161" s="211"/>
      <c r="Y161" s="211"/>
      <c r="Z161" s="211"/>
    </row>
    <row r="162" spans="1:26" ht="12.75">
      <c r="A162" s="557" t="s">
        <v>18</v>
      </c>
      <c r="B162" s="558"/>
      <c r="C162" s="558"/>
      <c r="D162" s="559"/>
      <c r="E162" s="454">
        <v>0.015</v>
      </c>
      <c r="F162" s="73">
        <v>15</v>
      </c>
      <c r="G162" s="78">
        <v>72</v>
      </c>
      <c r="H162" s="78">
        <f>G162*E162</f>
        <v>1.08</v>
      </c>
      <c r="I162" s="63">
        <f>(2.9*F162)/100</f>
        <v>0.435</v>
      </c>
      <c r="J162" s="63">
        <f>(F162*2.5)/100</f>
        <v>0.375</v>
      </c>
      <c r="K162" s="63">
        <f>(4.8*F162)/100</f>
        <v>0.72</v>
      </c>
      <c r="L162" s="64">
        <f>(F162*60)/100</f>
        <v>9</v>
      </c>
      <c r="N162" s="221"/>
      <c r="O162" s="221"/>
      <c r="P162" s="221"/>
      <c r="Q162" s="221"/>
      <c r="R162" s="247"/>
      <c r="S162" s="270"/>
      <c r="T162" s="28"/>
      <c r="U162" s="28"/>
      <c r="V162" s="28"/>
      <c r="W162" s="152"/>
      <c r="X162" s="152"/>
      <c r="Y162" s="152"/>
      <c r="Z162" s="152"/>
    </row>
    <row r="163" spans="1:26" ht="12.75">
      <c r="A163" s="340" t="s">
        <v>37</v>
      </c>
      <c r="B163" s="341"/>
      <c r="C163" s="341"/>
      <c r="D163" s="517"/>
      <c r="E163" s="448">
        <v>0.004</v>
      </c>
      <c r="F163" s="560">
        <v>4</v>
      </c>
      <c r="G163" s="447">
        <v>129</v>
      </c>
      <c r="H163" s="200">
        <f>E163*G163</f>
        <v>0.516</v>
      </c>
      <c r="I163" s="521"/>
      <c r="J163" s="455">
        <f>(F163*99.9)/100</f>
        <v>3.9960000000000004</v>
      </c>
      <c r="K163" s="80"/>
      <c r="L163" s="522">
        <f>(F163*899)/100</f>
        <v>35.96</v>
      </c>
      <c r="N163" s="221"/>
      <c r="O163" s="221"/>
      <c r="P163" s="221"/>
      <c r="Q163" s="221"/>
      <c r="R163" s="247"/>
      <c r="S163" s="270"/>
      <c r="T163" s="152"/>
      <c r="U163" s="150"/>
      <c r="V163" s="150"/>
      <c r="W163" s="133"/>
      <c r="X163" s="279"/>
      <c r="Y163" s="152"/>
      <c r="Z163" s="561"/>
    </row>
    <row r="164" spans="1:26" ht="12.75">
      <c r="A164" s="340" t="s">
        <v>16</v>
      </c>
      <c r="B164" s="341"/>
      <c r="C164" s="341"/>
      <c r="D164" s="517"/>
      <c r="E164" s="562">
        <v>0.002</v>
      </c>
      <c r="F164" s="505">
        <v>2</v>
      </c>
      <c r="G164" s="214">
        <v>300</v>
      </c>
      <c r="H164" s="78">
        <f>G164*E164</f>
        <v>0.6</v>
      </c>
      <c r="I164" s="45">
        <f>(F164*1)/100</f>
        <v>0.02</v>
      </c>
      <c r="J164" s="45">
        <f>(F164*72.5)/100</f>
        <v>1.45</v>
      </c>
      <c r="K164" s="45">
        <f>(F164*1.4)/100</f>
        <v>0.027999999999999997</v>
      </c>
      <c r="L164" s="46">
        <f>(F164*662)/100</f>
        <v>13.24</v>
      </c>
      <c r="N164" s="221"/>
      <c r="O164" s="221"/>
      <c r="P164" s="221"/>
      <c r="Q164" s="221"/>
      <c r="R164" s="247"/>
      <c r="S164" s="270"/>
      <c r="T164" s="152"/>
      <c r="U164" s="150"/>
      <c r="V164" s="150"/>
      <c r="W164" s="133"/>
      <c r="X164" s="279"/>
      <c r="Y164" s="152"/>
      <c r="Z164" s="561"/>
    </row>
    <row r="165" spans="1:26" ht="12.75">
      <c r="A165" s="340" t="s">
        <v>46</v>
      </c>
      <c r="B165" s="341"/>
      <c r="C165" s="341"/>
      <c r="D165" s="517"/>
      <c r="E165" s="562">
        <v>0.006</v>
      </c>
      <c r="F165" s="564">
        <v>5</v>
      </c>
      <c r="G165" s="505">
        <v>230</v>
      </c>
      <c r="H165" s="535">
        <f>E165*G165</f>
        <v>1.3800000000000001</v>
      </c>
      <c r="I165" s="455">
        <f>(12.7*F165)/100</f>
        <v>0.635</v>
      </c>
      <c r="J165" s="455">
        <f>(F165*11.5)/100</f>
        <v>0.575</v>
      </c>
      <c r="K165" s="455">
        <f>(F165*0.7)/100</f>
        <v>0.035</v>
      </c>
      <c r="L165" s="456">
        <f>(157*F165)/100</f>
        <v>7.85</v>
      </c>
      <c r="N165" s="221"/>
      <c r="O165" s="221"/>
      <c r="P165" s="221"/>
      <c r="Q165" s="221"/>
      <c r="R165" s="247"/>
      <c r="S165" s="270"/>
      <c r="T165" s="152"/>
      <c r="U165" s="150"/>
      <c r="V165" s="150"/>
      <c r="W165" s="133"/>
      <c r="X165" s="279"/>
      <c r="Y165" s="152"/>
      <c r="Z165" s="561"/>
    </row>
    <row r="166" spans="1:26" ht="12.75">
      <c r="A166" s="340" t="s">
        <v>84</v>
      </c>
      <c r="B166" s="341"/>
      <c r="C166" s="341"/>
      <c r="D166" s="517"/>
      <c r="E166" s="433">
        <v>0.07</v>
      </c>
      <c r="F166" s="434">
        <v>68</v>
      </c>
      <c r="G166" s="214">
        <v>180</v>
      </c>
      <c r="H166" s="78">
        <f>G166*E166</f>
        <v>12.600000000000001</v>
      </c>
      <c r="I166" s="54">
        <f>(16*F166)/100</f>
        <v>10.88</v>
      </c>
      <c r="J166" s="256">
        <f>(F166*9)/100</f>
        <v>6.12</v>
      </c>
      <c r="K166" s="256">
        <f>(3*F166)/100</f>
        <v>2.04</v>
      </c>
      <c r="L166" s="532">
        <f>(157*F166)/100</f>
        <v>106.76</v>
      </c>
      <c r="N166" s="221"/>
      <c r="O166" s="221"/>
      <c r="P166" s="221"/>
      <c r="Q166" s="221"/>
      <c r="R166" s="247"/>
      <c r="S166" s="270"/>
      <c r="T166" s="152"/>
      <c r="U166" s="150"/>
      <c r="V166" s="150"/>
      <c r="W166" s="133"/>
      <c r="X166" s="279"/>
      <c r="Y166" s="152"/>
      <c r="Z166" s="561"/>
    </row>
    <row r="167" spans="1:26" ht="12.75">
      <c r="A167" s="340" t="s">
        <v>17</v>
      </c>
      <c r="B167" s="341"/>
      <c r="C167" s="341"/>
      <c r="D167" s="517"/>
      <c r="E167" s="562">
        <v>0.005</v>
      </c>
      <c r="F167" s="505">
        <v>5</v>
      </c>
      <c r="G167" s="214">
        <v>90</v>
      </c>
      <c r="H167" s="78">
        <f>G167*E167</f>
        <v>0.45</v>
      </c>
      <c r="I167" s="80"/>
      <c r="J167" s="80"/>
      <c r="K167" s="80">
        <f>(F167*99.8)/100</f>
        <v>4.99</v>
      </c>
      <c r="L167" s="81">
        <f>(F167*399)/100</f>
        <v>19.95</v>
      </c>
      <c r="N167" s="221"/>
      <c r="O167" s="221"/>
      <c r="P167" s="221"/>
      <c r="Q167" s="221"/>
      <c r="R167" s="247"/>
      <c r="S167" s="270"/>
      <c r="T167" s="152"/>
      <c r="U167" s="150"/>
      <c r="V167" s="150"/>
      <c r="W167" s="133"/>
      <c r="X167" s="279"/>
      <c r="Y167" s="152"/>
      <c r="Z167" s="561"/>
    </row>
    <row r="168" spans="1:26" ht="12.75">
      <c r="A168" s="340" t="s">
        <v>85</v>
      </c>
      <c r="B168" s="341"/>
      <c r="C168" s="341"/>
      <c r="D168" s="517"/>
      <c r="E168" s="77">
        <v>0.004</v>
      </c>
      <c r="F168" s="78">
        <v>4</v>
      </c>
      <c r="G168" s="78">
        <v>53</v>
      </c>
      <c r="H168" s="78">
        <f>G168*E168</f>
        <v>0.212</v>
      </c>
      <c r="I168" s="34">
        <f>(E168*10.3)/0.1</f>
        <v>0.412</v>
      </c>
      <c r="J168" s="35">
        <f>(F168*1)/100</f>
        <v>0.04</v>
      </c>
      <c r="K168" s="35">
        <f>(F168*70.6)/100</f>
        <v>2.824</v>
      </c>
      <c r="L168" s="36">
        <f>(F168*329)/100</f>
        <v>13.16</v>
      </c>
      <c r="N168" s="221"/>
      <c r="O168" s="221"/>
      <c r="P168" s="221"/>
      <c r="Q168" s="221"/>
      <c r="R168" s="247"/>
      <c r="S168" s="270"/>
      <c r="T168" s="152"/>
      <c r="U168" s="150"/>
      <c r="V168" s="150"/>
      <c r="W168" s="133"/>
      <c r="X168" s="279"/>
      <c r="Y168" s="152"/>
      <c r="Z168" s="561"/>
    </row>
    <row r="169" spans="1:26" ht="12.75">
      <c r="A169" s="566" t="s">
        <v>86</v>
      </c>
      <c r="B169" s="567"/>
      <c r="C169" s="567"/>
      <c r="D169" s="568"/>
      <c r="E169" s="569">
        <v>2E-05</v>
      </c>
      <c r="F169" s="83">
        <v>0.02</v>
      </c>
      <c r="G169" s="78">
        <v>1400</v>
      </c>
      <c r="H169" s="78">
        <f>G169*E169</f>
        <v>0.028</v>
      </c>
      <c r="I169" s="570"/>
      <c r="J169" s="570"/>
      <c r="K169" s="570"/>
      <c r="L169" s="571"/>
      <c r="N169" s="221"/>
      <c r="O169" s="221"/>
      <c r="P169" s="221"/>
      <c r="Q169" s="221"/>
      <c r="R169" s="247"/>
      <c r="S169" s="563"/>
      <c r="T169" s="57"/>
      <c r="U169" s="209"/>
      <c r="V169" s="28"/>
      <c r="W169" s="233"/>
      <c r="X169" s="233"/>
      <c r="Y169" s="233"/>
      <c r="Z169" s="233"/>
    </row>
    <row r="170" spans="1:26" ht="12.75">
      <c r="A170" s="360" t="s">
        <v>87</v>
      </c>
      <c r="B170" s="572"/>
      <c r="C170" s="573"/>
      <c r="D170" s="574">
        <v>20</v>
      </c>
      <c r="E170" s="575"/>
      <c r="F170" s="574"/>
      <c r="G170" s="576"/>
      <c r="H170" s="576">
        <f>H171</f>
        <v>4.92</v>
      </c>
      <c r="I170" s="577">
        <f>I171</f>
        <v>1.44</v>
      </c>
      <c r="J170" s="577">
        <f>J171</f>
        <v>1.7</v>
      </c>
      <c r="K170" s="577">
        <f>K171</f>
        <v>11.1</v>
      </c>
      <c r="L170" s="577">
        <f>L171</f>
        <v>65.6</v>
      </c>
      <c r="N170" s="221"/>
      <c r="O170" s="221"/>
      <c r="P170" s="221"/>
      <c r="Q170" s="221"/>
      <c r="R170" s="247"/>
      <c r="S170" s="563"/>
      <c r="T170" s="57"/>
      <c r="U170" s="209"/>
      <c r="V170" s="28"/>
      <c r="W170" s="279"/>
      <c r="X170" s="279"/>
      <c r="Y170" s="279"/>
      <c r="Z170" s="279"/>
    </row>
    <row r="171" spans="1:26" ht="12.75">
      <c r="A171" s="578" t="s">
        <v>87</v>
      </c>
      <c r="B171" s="579"/>
      <c r="C171" s="580"/>
      <c r="D171" s="581"/>
      <c r="E171" s="582">
        <v>0.02</v>
      </c>
      <c r="F171" s="583">
        <v>20</v>
      </c>
      <c r="G171" s="584">
        <v>246</v>
      </c>
      <c r="H171" s="585">
        <f>E171*G171</f>
        <v>4.92</v>
      </c>
      <c r="I171" s="45">
        <f>(F171*7.2)/100</f>
        <v>1.44</v>
      </c>
      <c r="J171" s="45">
        <f>(F171*8.5)/100</f>
        <v>1.7</v>
      </c>
      <c r="K171" s="45">
        <f>(F171*55.5)/100</f>
        <v>11.1</v>
      </c>
      <c r="L171" s="46">
        <f>(F171*328)/100</f>
        <v>65.6</v>
      </c>
      <c r="N171" s="221"/>
      <c r="O171" s="221"/>
      <c r="P171" s="221"/>
      <c r="Q171" s="221"/>
      <c r="R171" s="247"/>
      <c r="S171" s="563"/>
      <c r="T171" s="565"/>
      <c r="U171" s="57"/>
      <c r="V171" s="209"/>
      <c r="W171" s="279"/>
      <c r="X171" s="279"/>
      <c r="Y171" s="279"/>
      <c r="Z171" s="279"/>
    </row>
    <row r="172" spans="1:26" ht="12.75">
      <c r="A172" s="1774" t="s">
        <v>88</v>
      </c>
      <c r="B172" s="1774"/>
      <c r="C172" s="1774"/>
      <c r="D172" s="587">
        <v>100</v>
      </c>
      <c r="E172" s="236"/>
      <c r="F172" s="236"/>
      <c r="G172" s="588"/>
      <c r="H172" s="138">
        <f>H173+H174+H175</f>
        <v>6.12</v>
      </c>
      <c r="I172" s="139">
        <f>SUM(I173:I175)</f>
        <v>2.755</v>
      </c>
      <c r="J172" s="139">
        <f>SUM(J173:J175)</f>
        <v>2.375</v>
      </c>
      <c r="K172" s="139">
        <f>SUM(K173:K175)</f>
        <v>12.544</v>
      </c>
      <c r="L172" s="140">
        <f>SUM(L173:L175)</f>
        <v>88.92</v>
      </c>
      <c r="M172" s="345"/>
      <c r="N172" s="466"/>
      <c r="O172" s="466"/>
      <c r="P172" s="466"/>
      <c r="Q172" s="423"/>
      <c r="R172" s="278"/>
      <c r="S172" s="278"/>
      <c r="T172" s="1412"/>
      <c r="U172" s="424"/>
      <c r="V172" s="426"/>
      <c r="W172" s="426"/>
      <c r="X172" s="426"/>
      <c r="Y172" s="426"/>
      <c r="Z172" s="152"/>
    </row>
    <row r="173" spans="1:26" ht="12.75">
      <c r="A173" s="589" t="s">
        <v>89</v>
      </c>
      <c r="B173" s="590"/>
      <c r="C173" s="591"/>
      <c r="D173" s="50"/>
      <c r="E173" s="592">
        <v>0.1</v>
      </c>
      <c r="F173" s="96">
        <v>95</v>
      </c>
      <c r="G173" s="97">
        <v>54</v>
      </c>
      <c r="H173" s="97">
        <f>E173*G173</f>
        <v>5.4</v>
      </c>
      <c r="I173" s="63">
        <f>(2.9*F173)/100</f>
        <v>2.755</v>
      </c>
      <c r="J173" s="63">
        <f>(F173*2.5)/100</f>
        <v>2.375</v>
      </c>
      <c r="K173" s="63">
        <f>(4.8*F173)/100</f>
        <v>4.56</v>
      </c>
      <c r="L173" s="64">
        <f>(F173*60)/100</f>
        <v>57</v>
      </c>
      <c r="M173" s="345"/>
      <c r="N173" s="275"/>
      <c r="O173" s="275"/>
      <c r="P173" s="278"/>
      <c r="Q173" s="470"/>
      <c r="R173" s="1413"/>
      <c r="S173" s="278"/>
      <c r="T173" s="471"/>
      <c r="U173" s="471"/>
      <c r="V173" s="152"/>
      <c r="W173" s="152"/>
      <c r="X173" s="152"/>
      <c r="Y173" s="152"/>
      <c r="Z173" s="152"/>
    </row>
    <row r="174" spans="1:26" ht="12.75">
      <c r="A174" s="593"/>
      <c r="B174" s="337"/>
      <c r="C174" s="96"/>
      <c r="D174" s="50"/>
      <c r="E174" s="95"/>
      <c r="F174" s="96"/>
      <c r="G174" s="97"/>
      <c r="H174" s="97"/>
      <c r="I174" s="204"/>
      <c r="J174" s="204"/>
      <c r="K174" s="204"/>
      <c r="L174" s="205"/>
      <c r="M174" s="345"/>
      <c r="N174" s="275"/>
      <c r="O174" s="275"/>
      <c r="P174" s="278"/>
      <c r="Q174" s="470"/>
      <c r="R174" s="277"/>
      <c r="S174" s="278"/>
      <c r="T174" s="471"/>
      <c r="U174" s="471"/>
      <c r="V174" s="268"/>
      <c r="W174" s="268"/>
      <c r="X174" s="268"/>
      <c r="Y174" s="268"/>
      <c r="Z174" s="28"/>
    </row>
    <row r="175" spans="1:26" ht="12.75">
      <c r="A175" s="457" t="s">
        <v>17</v>
      </c>
      <c r="B175" s="458"/>
      <c r="C175" s="474"/>
      <c r="D175" s="475"/>
      <c r="E175" s="476">
        <v>0.008</v>
      </c>
      <c r="F175" s="477">
        <v>8</v>
      </c>
      <c r="G175" s="478">
        <v>90</v>
      </c>
      <c r="H175" s="478">
        <f>E175*G175</f>
        <v>0.72</v>
      </c>
      <c r="I175" s="479"/>
      <c r="J175" s="479"/>
      <c r="K175" s="479">
        <f>(F175*99.8)/100</f>
        <v>7.984</v>
      </c>
      <c r="L175" s="480">
        <f>(F175*399)/100</f>
        <v>31.92</v>
      </c>
      <c r="M175" s="345"/>
      <c r="N175" s="275"/>
      <c r="O175" s="275"/>
      <c r="P175" s="278"/>
      <c r="Q175" s="470"/>
      <c r="R175" s="277"/>
      <c r="S175" s="278"/>
      <c r="T175" s="471"/>
      <c r="U175" s="471"/>
      <c r="V175" s="291"/>
      <c r="W175" s="291"/>
      <c r="X175" s="291"/>
      <c r="Y175" s="291"/>
      <c r="Z175" s="152"/>
    </row>
    <row r="176" spans="1:14" ht="15.75">
      <c r="A176" s="596"/>
      <c r="B176" s="368"/>
      <c r="C176" s="369" t="s">
        <v>50</v>
      </c>
      <c r="D176" s="117"/>
      <c r="E176" s="370"/>
      <c r="F176" s="370"/>
      <c r="G176" s="371"/>
      <c r="H176" s="119">
        <f>H172+H171+H161</f>
        <v>27.906</v>
      </c>
      <c r="I176" s="370"/>
      <c r="J176" s="372"/>
      <c r="K176" s="370"/>
      <c r="L176" s="597"/>
      <c r="M176" s="345"/>
      <c r="N176" s="345"/>
    </row>
    <row r="177" spans="1:14" ht="15.75">
      <c r="A177" s="598" t="s">
        <v>24</v>
      </c>
      <c r="B177" s="599"/>
      <c r="C177" s="600"/>
      <c r="D177" s="601"/>
      <c r="E177" s="602"/>
      <c r="F177" s="602"/>
      <c r="G177" s="603"/>
      <c r="H177" s="603"/>
      <c r="I177" s="602">
        <f>I172+I170+I161</f>
        <v>16.577</v>
      </c>
      <c r="J177" s="602">
        <f>J172+J170+J161</f>
        <v>16.631</v>
      </c>
      <c r="K177" s="602">
        <f>K172+K170+K161</f>
        <v>34.281</v>
      </c>
      <c r="L177" s="602">
        <f>L172+L170+L161</f>
        <v>360.43999999999994</v>
      </c>
      <c r="M177" s="345"/>
      <c r="N177" s="345"/>
    </row>
    <row r="178" spans="1:14" ht="12.75">
      <c r="A178" s="382"/>
      <c r="C178" s="383"/>
      <c r="D178" s="384"/>
      <c r="E178" s="383"/>
      <c r="F178" s="383"/>
      <c r="G178" s="385"/>
      <c r="H178" s="385"/>
      <c r="I178" s="197"/>
      <c r="J178" s="386"/>
      <c r="K178" s="197"/>
      <c r="L178" s="604">
        <f>L177/1400</f>
        <v>0.25745714285714283</v>
      </c>
      <c r="M178" s="345"/>
      <c r="N178" s="345"/>
    </row>
    <row r="179" spans="1:14" ht="12.75">
      <c r="A179" s="394" t="s">
        <v>51</v>
      </c>
      <c r="B179" s="395"/>
      <c r="C179" s="395"/>
      <c r="D179" s="12"/>
      <c r="E179" s="396">
        <v>0.008</v>
      </c>
      <c r="F179" s="218" t="s">
        <v>52</v>
      </c>
      <c r="G179" s="397">
        <v>20</v>
      </c>
      <c r="H179" s="13">
        <f>E179*G179</f>
        <v>0.16</v>
      </c>
      <c r="I179" s="398"/>
      <c r="J179" s="399"/>
      <c r="K179" s="398"/>
      <c r="L179" s="400"/>
      <c r="M179" s="345"/>
      <c r="N179" s="345"/>
    </row>
    <row r="180" spans="1:12" ht="12.75">
      <c r="A180" s="394"/>
      <c r="B180" s="19"/>
      <c r="C180" s="395"/>
      <c r="D180" s="12"/>
      <c r="E180" s="286"/>
      <c r="F180" s="218"/>
      <c r="G180" s="397"/>
      <c r="H180" s="13"/>
      <c r="I180" s="398"/>
      <c r="J180" s="399"/>
      <c r="K180" s="398"/>
      <c r="L180" s="400"/>
    </row>
    <row r="181" spans="1:12" ht="15.75">
      <c r="A181" s="605"/>
      <c r="B181" s="606"/>
      <c r="C181" s="605" t="s">
        <v>53</v>
      </c>
      <c r="D181" s="607"/>
      <c r="E181" s="606"/>
      <c r="F181" s="605"/>
      <c r="G181" s="608"/>
      <c r="H181" s="608">
        <f>H179+H176+H157+H125+H118</f>
        <v>113.348</v>
      </c>
      <c r="I181" s="606"/>
      <c r="J181" s="609"/>
      <c r="K181" s="606"/>
      <c r="L181" s="607"/>
    </row>
    <row r="182" spans="1:12" ht="12.75">
      <c r="A182" s="394"/>
      <c r="B182" s="398"/>
      <c r="C182" s="395"/>
      <c r="D182" s="12"/>
      <c r="E182" s="610"/>
      <c r="F182" s="218" t="s">
        <v>24</v>
      </c>
      <c r="G182" s="397"/>
      <c r="H182" s="397"/>
      <c r="I182" s="398"/>
      <c r="J182" s="399"/>
      <c r="K182" s="398"/>
      <c r="L182" s="611"/>
    </row>
    <row r="183" spans="1:12" ht="12.75">
      <c r="A183" s="612" t="s">
        <v>54</v>
      </c>
      <c r="B183" s="613"/>
      <c r="C183" s="612"/>
      <c r="D183" s="614"/>
      <c r="E183" s="612"/>
      <c r="F183" s="612"/>
      <c r="G183" s="615"/>
      <c r="H183" s="615"/>
      <c r="I183" s="616">
        <f>I177+I158+I119+I122</f>
        <v>52.823</v>
      </c>
      <c r="J183" s="616">
        <f>J177+J158+J119+J122</f>
        <v>55.18</v>
      </c>
      <c r="K183" s="616">
        <f>K177+K158+K119+K122</f>
        <v>158.32100000000003</v>
      </c>
      <c r="L183" s="616">
        <f>L177+L158+L119+L122</f>
        <v>1415.5700000000002</v>
      </c>
    </row>
    <row r="184" spans="1:12" ht="12.75">
      <c r="A184" s="421"/>
      <c r="B184" s="422"/>
      <c r="C184" s="421"/>
      <c r="D184" s="423"/>
      <c r="E184" s="421"/>
      <c r="F184" s="421"/>
      <c r="G184" s="424"/>
      <c r="H184" s="424"/>
      <c r="I184" s="426"/>
      <c r="J184" s="426"/>
      <c r="K184" s="426"/>
      <c r="L184" s="617">
        <f>L183/1400</f>
        <v>1.0111214285714287</v>
      </c>
    </row>
    <row r="185" spans="1:12" ht="12.75">
      <c r="A185" s="421"/>
      <c r="B185" s="422"/>
      <c r="C185" s="421"/>
      <c r="D185" s="423"/>
      <c r="E185" s="421"/>
      <c r="F185" s="421"/>
      <c r="G185" s="424"/>
      <c r="H185" s="424"/>
      <c r="I185" s="426"/>
      <c r="J185" s="426"/>
      <c r="K185" s="426"/>
      <c r="L185" s="617"/>
    </row>
    <row r="186" spans="1:12" ht="12.75">
      <c r="A186" s="421"/>
      <c r="B186" s="422"/>
      <c r="C186" s="421"/>
      <c r="D186" s="423"/>
      <c r="E186" s="421"/>
      <c r="F186" s="421"/>
      <c r="G186" s="424"/>
      <c r="H186" s="424"/>
      <c r="I186" s="426"/>
      <c r="J186" s="426"/>
      <c r="K186" s="426"/>
      <c r="L186" s="617"/>
    </row>
    <row r="187" spans="1:12" ht="12.75">
      <c r="A187" s="421"/>
      <c r="B187" s="422"/>
      <c r="C187" s="421"/>
      <c r="D187" s="423"/>
      <c r="E187" s="421"/>
      <c r="F187" s="421"/>
      <c r="G187" s="424"/>
      <c r="H187" s="424"/>
      <c r="I187" s="426"/>
      <c r="J187" s="426"/>
      <c r="K187" s="426"/>
      <c r="L187" s="617"/>
    </row>
    <row r="188" spans="1:12" ht="12.75">
      <c r="A188" s="421"/>
      <c r="B188" s="422"/>
      <c r="C188" s="421"/>
      <c r="D188" s="423"/>
      <c r="E188" s="421"/>
      <c r="F188" s="421"/>
      <c r="G188" s="424"/>
      <c r="H188" s="424"/>
      <c r="I188" s="426"/>
      <c r="J188" s="426"/>
      <c r="K188" s="426"/>
      <c r="L188" s="617"/>
    </row>
    <row r="189" spans="1:12" ht="15">
      <c r="A189" s="1"/>
      <c r="B189" s="1"/>
      <c r="C189" s="1"/>
      <c r="D189" s="427"/>
      <c r="E189" s="1"/>
      <c r="F189" s="1"/>
      <c r="G189" s="2"/>
      <c r="H189" s="2"/>
      <c r="I189" s="3" t="s">
        <v>90</v>
      </c>
      <c r="J189" s="1783"/>
      <c r="K189" s="1783"/>
      <c r="L189" s="1783"/>
    </row>
    <row r="190" spans="1:12" ht="12.75">
      <c r="A190" s="618"/>
      <c r="B190" s="618"/>
      <c r="C190" s="618"/>
      <c r="D190" s="619" t="s">
        <v>231</v>
      </c>
      <c r="E190" s="618"/>
      <c r="F190" s="618"/>
      <c r="G190" s="620"/>
      <c r="H190" s="620"/>
      <c r="I190" s="621"/>
      <c r="J190" s="621"/>
      <c r="K190" s="621"/>
      <c r="L190" s="621"/>
    </row>
    <row r="191" spans="1:12" ht="25.5">
      <c r="A191" s="1787" t="s">
        <v>2</v>
      </c>
      <c r="B191" s="1787"/>
      <c r="C191" s="1787"/>
      <c r="D191" s="622" t="s">
        <v>3</v>
      </c>
      <c r="E191" s="623" t="s">
        <v>4</v>
      </c>
      <c r="F191" s="623" t="s">
        <v>5</v>
      </c>
      <c r="G191" s="624" t="s">
        <v>6</v>
      </c>
      <c r="H191" s="625" t="s">
        <v>56</v>
      </c>
      <c r="I191" s="626" t="s">
        <v>8</v>
      </c>
      <c r="J191" s="626" t="s">
        <v>9</v>
      </c>
      <c r="K191" s="627" t="s">
        <v>10</v>
      </c>
      <c r="L191" s="626" t="s">
        <v>11</v>
      </c>
    </row>
    <row r="192" spans="1:12" ht="12.75">
      <c r="A192" s="1787"/>
      <c r="B192" s="1787"/>
      <c r="C192" s="1787"/>
      <c r="D192" s="628"/>
      <c r="E192" s="629"/>
      <c r="F192" s="629"/>
      <c r="G192" s="630"/>
      <c r="H192" s="630"/>
      <c r="I192" s="631" t="s">
        <v>12</v>
      </c>
      <c r="J192" s="631"/>
      <c r="K192" s="631"/>
      <c r="L192" s="632"/>
    </row>
    <row r="193" spans="1:12" ht="12.75">
      <c r="A193" s="211" t="s">
        <v>57</v>
      </c>
      <c r="B193" s="633">
        <v>0.3333333333333333</v>
      </c>
      <c r="C193" s="634"/>
      <c r="D193" s="207"/>
      <c r="E193" s="634"/>
      <c r="F193" s="634"/>
      <c r="G193" s="210"/>
      <c r="H193" s="210"/>
      <c r="I193" s="211"/>
      <c r="J193" s="211"/>
      <c r="K193" s="211"/>
      <c r="L193" s="211"/>
    </row>
    <row r="194" spans="1:12" ht="12.75">
      <c r="A194" s="1773" t="s">
        <v>242</v>
      </c>
      <c r="B194" s="1773"/>
      <c r="C194" s="1773"/>
      <c r="D194" s="20">
        <v>150</v>
      </c>
      <c r="E194" s="21"/>
      <c r="F194" s="21"/>
      <c r="G194" s="22"/>
      <c r="H194" s="23">
        <f>H195+H196+H198+H197</f>
        <v>12.052999999999999</v>
      </c>
      <c r="I194" s="24">
        <f>SUM(I195:I198)</f>
        <v>5.46</v>
      </c>
      <c r="J194" s="24">
        <f>SUM(J195:J198)</f>
        <v>6.345</v>
      </c>
      <c r="K194" s="24">
        <f>SUM(K195:K198)</f>
        <v>19.729999999999997</v>
      </c>
      <c r="L194" s="24">
        <f>SUM(L195:L198)</f>
        <v>167.15</v>
      </c>
    </row>
    <row r="195" spans="1:12" ht="12.75">
      <c r="A195" s="27" t="s">
        <v>92</v>
      </c>
      <c r="B195" s="28"/>
      <c r="C195" s="28"/>
      <c r="D195" s="29"/>
      <c r="E195" s="30">
        <v>0.015</v>
      </c>
      <c r="F195" s="31">
        <v>15</v>
      </c>
      <c r="G195" s="214">
        <v>93</v>
      </c>
      <c r="H195" s="215">
        <f>G195*E195</f>
        <v>1.395</v>
      </c>
      <c r="I195" s="85">
        <f>(11*F195)/100</f>
        <v>1.65</v>
      </c>
      <c r="J195" s="85">
        <f>(1.3*F195)/100</f>
        <v>0.195</v>
      </c>
      <c r="K195" s="85">
        <f>(69.6*F195)/100</f>
        <v>10.44</v>
      </c>
      <c r="L195" s="86">
        <f>(338*F195)/100</f>
        <v>50.7</v>
      </c>
    </row>
    <row r="196" spans="1:12" ht="12.75">
      <c r="A196" s="37" t="s">
        <v>16</v>
      </c>
      <c r="B196" s="38"/>
      <c r="C196" s="39"/>
      <c r="D196" s="40"/>
      <c r="E196" s="41">
        <v>0.004</v>
      </c>
      <c r="F196" s="42">
        <v>4</v>
      </c>
      <c r="G196" s="43">
        <v>257</v>
      </c>
      <c r="H196" s="44">
        <f>E196*G196</f>
        <v>1.028</v>
      </c>
      <c r="I196" s="45">
        <f>(F196*1)/100</f>
        <v>0.04</v>
      </c>
      <c r="J196" s="45">
        <f>(F196*72.5)/100</f>
        <v>2.9</v>
      </c>
      <c r="K196" s="45">
        <f>(F196*1.4)/100</f>
        <v>0.055999999999999994</v>
      </c>
      <c r="L196" s="46">
        <f>(F196*662)/100</f>
        <v>26.48</v>
      </c>
    </row>
    <row r="197" spans="1:12" ht="12.75">
      <c r="A197" s="47" t="s">
        <v>17</v>
      </c>
      <c r="B197" s="48"/>
      <c r="C197" s="49"/>
      <c r="D197" s="50"/>
      <c r="E197" s="51">
        <v>0.003</v>
      </c>
      <c r="F197" s="52">
        <v>3</v>
      </c>
      <c r="G197" s="53">
        <v>90</v>
      </c>
      <c r="H197" s="53">
        <f>E197*G197</f>
        <v>0.27</v>
      </c>
      <c r="I197" s="54"/>
      <c r="J197" s="54"/>
      <c r="K197" s="54">
        <f>(F197*99.8)/100</f>
        <v>2.9939999999999998</v>
      </c>
      <c r="L197" s="55">
        <f>(F197*399)/100</f>
        <v>11.97</v>
      </c>
    </row>
    <row r="198" spans="1:12" ht="12.75">
      <c r="A198" s="56" t="s">
        <v>18</v>
      </c>
      <c r="B198" s="57"/>
      <c r="C198" s="57"/>
      <c r="D198" s="58"/>
      <c r="E198" s="59">
        <v>0.13</v>
      </c>
      <c r="F198" s="60">
        <v>130</v>
      </c>
      <c r="G198" s="61">
        <v>72</v>
      </c>
      <c r="H198" s="62">
        <f>E198*G198</f>
        <v>9.36</v>
      </c>
      <c r="I198" s="63">
        <f>(2.9*F198)/100</f>
        <v>3.77</v>
      </c>
      <c r="J198" s="63">
        <f>(F198*2.5)/100</f>
        <v>3.25</v>
      </c>
      <c r="K198" s="63">
        <f>(4.8*F198)/100</f>
        <v>6.24</v>
      </c>
      <c r="L198" s="64">
        <f>(F198*60)/100</f>
        <v>78</v>
      </c>
    </row>
    <row r="199" spans="1:12" ht="12.75">
      <c r="A199" s="1773" t="s">
        <v>49</v>
      </c>
      <c r="B199" s="1773"/>
      <c r="C199" s="1773"/>
      <c r="D199" s="65">
        <v>150</v>
      </c>
      <c r="E199" s="66"/>
      <c r="F199" s="21"/>
      <c r="G199" s="22"/>
      <c r="H199" s="23">
        <f>H200+H201</f>
        <v>1.214</v>
      </c>
      <c r="I199" s="67">
        <f>I201</f>
        <v>0</v>
      </c>
      <c r="J199" s="67">
        <f>J201</f>
        <v>0</v>
      </c>
      <c r="K199" s="67">
        <f>K201</f>
        <v>10.978</v>
      </c>
      <c r="L199" s="67">
        <f>L201</f>
        <v>43.89</v>
      </c>
    </row>
    <row r="200" spans="1:12" ht="12.75">
      <c r="A200" s="68" t="s">
        <v>20</v>
      </c>
      <c r="B200" s="69"/>
      <c r="C200" s="70"/>
      <c r="D200" s="71"/>
      <c r="E200" s="72">
        <v>0.0005</v>
      </c>
      <c r="F200" s="73">
        <v>0.5</v>
      </c>
      <c r="G200" s="74">
        <v>448</v>
      </c>
      <c r="H200" s="74">
        <f>E200*G200</f>
        <v>0.224</v>
      </c>
      <c r="I200" s="75"/>
      <c r="J200" s="75"/>
      <c r="K200" s="75"/>
      <c r="L200" s="76"/>
    </row>
    <row r="201" spans="1:12" ht="12.75">
      <c r="A201" s="68" t="s">
        <v>17</v>
      </c>
      <c r="B201" s="69"/>
      <c r="C201" s="70"/>
      <c r="D201" s="71"/>
      <c r="E201" s="77">
        <v>0.011</v>
      </c>
      <c r="F201" s="78">
        <v>11</v>
      </c>
      <c r="G201" s="79">
        <v>90</v>
      </c>
      <c r="H201" s="79">
        <f>G201*E201</f>
        <v>0.99</v>
      </c>
      <c r="I201" s="80"/>
      <c r="J201" s="80"/>
      <c r="K201" s="80">
        <f>(F201*99.8)/100</f>
        <v>10.978</v>
      </c>
      <c r="L201" s="81">
        <f>(F201*399)/100</f>
        <v>43.89</v>
      </c>
    </row>
    <row r="202" spans="1:12" ht="12.75">
      <c r="A202" s="429"/>
      <c r="B202" s="430"/>
      <c r="C202" s="430"/>
      <c r="D202" s="432"/>
      <c r="E202" s="562"/>
      <c r="F202" s="505"/>
      <c r="G202" s="214"/>
      <c r="H202" s="535"/>
      <c r="I202" s="80"/>
      <c r="J202" s="80"/>
      <c r="K202" s="80"/>
      <c r="L202" s="81"/>
    </row>
    <row r="203" spans="1:12" ht="12.75">
      <c r="A203" s="1773" t="s">
        <v>93</v>
      </c>
      <c r="B203" s="1773"/>
      <c r="C203" s="1773"/>
      <c r="D203" s="450" t="s">
        <v>94</v>
      </c>
      <c r="E203" s="66"/>
      <c r="F203" s="21"/>
      <c r="G203" s="22"/>
      <c r="H203" s="23">
        <f>H204+H206+H205</f>
        <v>3.9899999999999998</v>
      </c>
      <c r="I203" s="294">
        <f>SUM(I204:I206)</f>
        <v>2.25</v>
      </c>
      <c r="J203" s="294">
        <f>SUM(J204:J206)</f>
        <v>2.94</v>
      </c>
      <c r="K203" s="294">
        <f>SUM(K204:K206)</f>
        <v>22.32</v>
      </c>
      <c r="L203" s="67">
        <f>SUM(L204:L206)</f>
        <v>125.1</v>
      </c>
    </row>
    <row r="204" spans="1:12" ht="12.75">
      <c r="A204" s="1822" t="s">
        <v>93</v>
      </c>
      <c r="B204" s="1822"/>
      <c r="C204" s="1822"/>
      <c r="D204" s="650"/>
      <c r="E204" s="651">
        <v>0.03</v>
      </c>
      <c r="F204" s="652">
        <v>30</v>
      </c>
      <c r="G204" s="653">
        <v>133</v>
      </c>
      <c r="H204" s="653">
        <f>E204*G204</f>
        <v>3.9899999999999998</v>
      </c>
      <c r="I204" s="93">
        <v>2.25</v>
      </c>
      <c r="J204" s="93">
        <v>2.94</v>
      </c>
      <c r="K204" s="93">
        <v>22.32</v>
      </c>
      <c r="L204" s="94">
        <v>125.1</v>
      </c>
    </row>
    <row r="205" spans="1:12" ht="12.75">
      <c r="A205" s="457"/>
      <c r="B205" s="458"/>
      <c r="C205" s="458"/>
      <c r="D205" s="459"/>
      <c r="E205" s="460"/>
      <c r="F205" s="461"/>
      <c r="G205" s="461"/>
      <c r="H205" s="461"/>
      <c r="I205" s="461"/>
      <c r="J205" s="461"/>
      <c r="K205" s="461"/>
      <c r="L205" s="462"/>
    </row>
    <row r="206" spans="1:12" ht="12.75">
      <c r="A206" s="1789"/>
      <c r="B206" s="1789"/>
      <c r="C206" s="1789"/>
      <c r="D206" s="650"/>
      <c r="E206" s="651"/>
      <c r="F206" s="652"/>
      <c r="G206" s="653"/>
      <c r="H206" s="653"/>
      <c r="I206" s="654"/>
      <c r="J206" s="654"/>
      <c r="K206" s="654"/>
      <c r="L206" s="655"/>
    </row>
    <row r="207" spans="1:12" ht="15.75">
      <c r="A207" s="656" t="s">
        <v>23</v>
      </c>
      <c r="B207" s="657"/>
      <c r="C207" s="657"/>
      <c r="D207" s="658"/>
      <c r="E207" s="659"/>
      <c r="F207" s="658"/>
      <c r="G207" s="660"/>
      <c r="H207" s="660">
        <f>H203+H199+H194</f>
        <v>17.256999999999998</v>
      </c>
      <c r="I207" s="661"/>
      <c r="J207" s="661"/>
      <c r="K207" s="662"/>
      <c r="L207" s="663"/>
    </row>
    <row r="208" spans="1:12" ht="12.75">
      <c r="A208" s="664"/>
      <c r="B208" s="665" t="s">
        <v>24</v>
      </c>
      <c r="C208" s="666"/>
      <c r="D208" s="667"/>
      <c r="E208" s="668"/>
      <c r="F208" s="667"/>
      <c r="G208" s="669"/>
      <c r="H208" s="669"/>
      <c r="I208" s="670">
        <f>I203+I199+I194</f>
        <v>7.71</v>
      </c>
      <c r="J208" s="670">
        <f>J203+J199+J194</f>
        <v>9.285</v>
      </c>
      <c r="K208" s="670">
        <f>K203+K199+K194</f>
        <v>53.028</v>
      </c>
      <c r="L208" s="670">
        <f>L203+L199+L194</f>
        <v>336.14</v>
      </c>
    </row>
    <row r="209" spans="1:12" ht="12.75">
      <c r="A209" s="206"/>
      <c r="B209" s="206"/>
      <c r="C209" s="206"/>
      <c r="D209" s="207"/>
      <c r="E209" s="671"/>
      <c r="F209" s="207"/>
      <c r="G209" s="210"/>
      <c r="H209" s="210"/>
      <c r="I209" s="211"/>
      <c r="J209" s="211"/>
      <c r="K209" s="672"/>
      <c r="L209" s="672">
        <f>L208/1400</f>
        <v>0.24009999999999998</v>
      </c>
    </row>
    <row r="210" spans="1:12" ht="12.75">
      <c r="A210" s="1790" t="s">
        <v>95</v>
      </c>
      <c r="B210" s="1790"/>
      <c r="C210" s="1790"/>
      <c r="D210" s="208"/>
      <c r="E210" s="208"/>
      <c r="F210" s="208"/>
      <c r="G210" s="209"/>
      <c r="H210" s="209"/>
      <c r="I210" s="211"/>
      <c r="J210" s="223"/>
      <c r="K210" s="673"/>
      <c r="L210" s="223"/>
    </row>
    <row r="211" spans="1:12" ht="12.75" customHeight="1">
      <c r="A211" s="1774" t="s">
        <v>26</v>
      </c>
      <c r="B211" s="1774"/>
      <c r="C211" s="1774"/>
      <c r="D211" s="135">
        <v>100</v>
      </c>
      <c r="E211" s="136"/>
      <c r="F211" s="136"/>
      <c r="G211" s="137"/>
      <c r="H211" s="138">
        <f>H212</f>
        <v>7</v>
      </c>
      <c r="I211" s="139"/>
      <c r="J211" s="139"/>
      <c r="K211" s="139"/>
      <c r="L211" s="140">
        <v>46</v>
      </c>
    </row>
    <row r="212" spans="1:15" ht="12.75">
      <c r="A212" s="1778" t="s">
        <v>26</v>
      </c>
      <c r="B212" s="1778"/>
      <c r="C212" s="1778"/>
      <c r="D212" s="141"/>
      <c r="E212" s="142">
        <v>0.1</v>
      </c>
      <c r="F212" s="143">
        <v>100</v>
      </c>
      <c r="G212" s="144">
        <v>70</v>
      </c>
      <c r="H212" s="145">
        <f>E212*G212</f>
        <v>7</v>
      </c>
      <c r="I212" s="143"/>
      <c r="J212" s="143"/>
      <c r="K212" s="143">
        <f>(10.1*F212)/100</f>
        <v>10.1</v>
      </c>
      <c r="L212" s="146">
        <f>(F212*46)/100</f>
        <v>46</v>
      </c>
      <c r="M212" s="345"/>
      <c r="N212" s="345"/>
      <c r="O212" s="345"/>
    </row>
    <row r="213" spans="1:15" ht="15.75">
      <c r="A213" s="674" t="s">
        <v>27</v>
      </c>
      <c r="B213" s="675"/>
      <c r="C213" s="676"/>
      <c r="D213" s="677"/>
      <c r="E213" s="677"/>
      <c r="F213" s="677"/>
      <c r="G213" s="678"/>
      <c r="H213" s="679">
        <f>H211</f>
        <v>7</v>
      </c>
      <c r="I213" s="680"/>
      <c r="J213" s="680"/>
      <c r="K213" s="680"/>
      <c r="L213" s="681">
        <f>L211/1400</f>
        <v>0.032857142857142856</v>
      </c>
      <c r="M213" s="345"/>
      <c r="N213" s="345"/>
      <c r="O213" s="345"/>
    </row>
    <row r="214" spans="1:15" ht="12.75">
      <c r="A214" s="682"/>
      <c r="B214" s="683" t="s">
        <v>24</v>
      </c>
      <c r="C214" s="683"/>
      <c r="D214" s="667"/>
      <c r="E214" s="667"/>
      <c r="F214" s="667"/>
      <c r="G214" s="669"/>
      <c r="H214" s="669"/>
      <c r="I214" s="684">
        <f>I211</f>
        <v>0</v>
      </c>
      <c r="J214" s="684">
        <f>J211</f>
        <v>0</v>
      </c>
      <c r="K214" s="684">
        <f>K211</f>
        <v>0</v>
      </c>
      <c r="L214" s="685">
        <f>L211</f>
        <v>46</v>
      </c>
      <c r="M214" s="345"/>
      <c r="N214" s="345"/>
      <c r="O214" s="345"/>
    </row>
    <row r="215" spans="1:15" ht="12.75">
      <c r="A215" s="686" t="s">
        <v>67</v>
      </c>
      <c r="B215" s="687">
        <v>0.5</v>
      </c>
      <c r="C215" s="688"/>
      <c r="D215" s="689"/>
      <c r="E215" s="689"/>
      <c r="F215" s="689"/>
      <c r="G215" s="690"/>
      <c r="H215" s="690"/>
      <c r="I215" s="686"/>
      <c r="J215" s="686"/>
      <c r="K215" s="691"/>
      <c r="L215" s="692"/>
      <c r="M215" s="345"/>
      <c r="N215" s="345"/>
      <c r="O215" s="345"/>
    </row>
    <row r="216" spans="1:15" ht="12.75" customHeight="1">
      <c r="A216" s="1776" t="s">
        <v>243</v>
      </c>
      <c r="B216" s="1776"/>
      <c r="C216" s="1776"/>
      <c r="D216" s="574" t="s">
        <v>244</v>
      </c>
      <c r="E216" s="693"/>
      <c r="F216" s="104"/>
      <c r="G216" s="694"/>
      <c r="H216" s="695">
        <f>SUM(H217:H225)</f>
        <v>17.856</v>
      </c>
      <c r="I216" s="696">
        <f>SUM(I217:I225)</f>
        <v>5.981999999999999</v>
      </c>
      <c r="J216" s="696">
        <f>SUM(J217:J225)</f>
        <v>6.379</v>
      </c>
      <c r="K216" s="696">
        <f>SUM(K217:K225)</f>
        <v>12.291</v>
      </c>
      <c r="L216" s="696">
        <f>SUM(L217:L225)</f>
        <v>131.41</v>
      </c>
      <c r="M216" s="345"/>
      <c r="N216" s="345"/>
      <c r="O216" s="345"/>
    </row>
    <row r="217" spans="1:15" ht="12.75">
      <c r="A217" s="340" t="s">
        <v>245</v>
      </c>
      <c r="B217" s="493"/>
      <c r="C217" s="493"/>
      <c r="D217" s="515"/>
      <c r="E217" s="835">
        <v>0.027</v>
      </c>
      <c r="F217" s="85">
        <v>20</v>
      </c>
      <c r="G217" s="192">
        <v>240</v>
      </c>
      <c r="H217" s="193">
        <f>G217*E217</f>
        <v>6.4799999999999995</v>
      </c>
      <c r="I217" s="495">
        <f>(F217*18.2)/100</f>
        <v>3.64</v>
      </c>
      <c r="J217" s="495">
        <f>(F217*18.4)/100</f>
        <v>3.68</v>
      </c>
      <c r="K217" s="495"/>
      <c r="L217" s="496">
        <f>(F217*238)/100</f>
        <v>47.6</v>
      </c>
      <c r="M217" s="345"/>
      <c r="N217" s="345"/>
      <c r="O217" s="345"/>
    </row>
    <row r="218" spans="1:15" ht="12.75">
      <c r="A218" s="697" t="s">
        <v>16</v>
      </c>
      <c r="B218" s="698"/>
      <c r="C218" s="698"/>
      <c r="D218" s="699"/>
      <c r="E218" s="700">
        <v>0.002</v>
      </c>
      <c r="F218" s="701">
        <v>2</v>
      </c>
      <c r="G218" s="702">
        <v>300</v>
      </c>
      <c r="H218" s="703">
        <f>E218*G218</f>
        <v>0.6</v>
      </c>
      <c r="I218" s="45">
        <f>(F218*1)/100</f>
        <v>0.02</v>
      </c>
      <c r="J218" s="45">
        <f>(F218*72.5)/100</f>
        <v>1.45</v>
      </c>
      <c r="K218" s="45">
        <f>(F218*1.4)/100</f>
        <v>0.027999999999999997</v>
      </c>
      <c r="L218" s="46">
        <f>(F218*662)/100</f>
        <v>13.24</v>
      </c>
      <c r="M218" s="345"/>
      <c r="N218" s="345"/>
      <c r="O218" s="345"/>
    </row>
    <row r="219" spans="1:15" ht="12.75">
      <c r="A219" s="993" t="s">
        <v>72</v>
      </c>
      <c r="B219" s="837"/>
      <c r="C219" s="837"/>
      <c r="D219" s="517"/>
      <c r="E219" s="1414">
        <v>0.005</v>
      </c>
      <c r="F219" s="503">
        <v>5</v>
      </c>
      <c r="G219" s="324">
        <v>156</v>
      </c>
      <c r="H219" s="324">
        <f>E219*G219</f>
        <v>0.78</v>
      </c>
      <c r="I219" s="512">
        <f>(2.5*F219)/100</f>
        <v>0.125</v>
      </c>
      <c r="J219" s="512">
        <f>(20*F219)/100</f>
        <v>1</v>
      </c>
      <c r="K219" s="512">
        <f>(3.4*F219)/100</f>
        <v>0.17</v>
      </c>
      <c r="L219" s="274">
        <f>(206*F219)/100</f>
        <v>10.3</v>
      </c>
      <c r="M219" s="345"/>
      <c r="N219" s="345"/>
      <c r="O219" s="345"/>
    </row>
    <row r="220" spans="1:15" ht="12.75">
      <c r="A220" s="340" t="s">
        <v>38</v>
      </c>
      <c r="B220" s="493"/>
      <c r="C220" s="493"/>
      <c r="D220" s="1036"/>
      <c r="E220" s="212">
        <v>0.05</v>
      </c>
      <c r="F220" s="1415">
        <v>40</v>
      </c>
      <c r="G220" s="507">
        <v>56</v>
      </c>
      <c r="H220" s="324">
        <f>E220*G220</f>
        <v>2.8000000000000003</v>
      </c>
      <c r="I220" s="111">
        <f>(1.8*F220)/100</f>
        <v>0.72</v>
      </c>
      <c r="J220" s="111">
        <f>(F220*0.1)/100</f>
        <v>0.04</v>
      </c>
      <c r="K220" s="111">
        <f>(F220*4.7)/100</f>
        <v>1.88</v>
      </c>
      <c r="L220" s="263">
        <f>(F220*28)/100</f>
        <v>11.2</v>
      </c>
      <c r="M220" s="345"/>
      <c r="N220" s="345"/>
      <c r="O220" s="345"/>
    </row>
    <row r="221" spans="1:15" ht="12.75">
      <c r="A221" s="340" t="s">
        <v>32</v>
      </c>
      <c r="B221" s="493"/>
      <c r="C221" s="493"/>
      <c r="D221" s="1036"/>
      <c r="E221" s="212">
        <v>0.065</v>
      </c>
      <c r="F221" s="213">
        <v>40</v>
      </c>
      <c r="G221" s="507">
        <v>56</v>
      </c>
      <c r="H221" s="324">
        <f>E221*G221</f>
        <v>3.64</v>
      </c>
      <c r="I221" s="204">
        <f>(F221*2)/100</f>
        <v>0.8</v>
      </c>
      <c r="J221" s="204">
        <f>(F221*0.4)/100</f>
        <v>0.16</v>
      </c>
      <c r="K221" s="204">
        <f>(F221*16.3)/100</f>
        <v>6.52</v>
      </c>
      <c r="L221" s="205">
        <f>(F221*77)/100</f>
        <v>30.8</v>
      </c>
      <c r="M221" s="345"/>
      <c r="N221" s="345"/>
      <c r="O221" s="345"/>
    </row>
    <row r="222" spans="1:15" ht="12.75">
      <c r="A222" s="340" t="s">
        <v>33</v>
      </c>
      <c r="B222" s="341"/>
      <c r="C222" s="341"/>
      <c r="D222" s="517"/>
      <c r="E222" s="212">
        <v>0.01</v>
      </c>
      <c r="F222" s="213">
        <v>8</v>
      </c>
      <c r="G222" s="507">
        <v>63</v>
      </c>
      <c r="H222" s="324">
        <f>E222*G222</f>
        <v>0.63</v>
      </c>
      <c r="I222" s="204">
        <f>(F222*1.4)/100</f>
        <v>0.11199999999999999</v>
      </c>
      <c r="J222" s="204">
        <f>(F222*0.2)/100</f>
        <v>0.016</v>
      </c>
      <c r="K222" s="204">
        <f>(F222*8.2)/100</f>
        <v>0.6559999999999999</v>
      </c>
      <c r="L222" s="205">
        <f>(F222*41)/100</f>
        <v>3.28</v>
      </c>
      <c r="M222" s="345"/>
      <c r="N222" s="345"/>
      <c r="O222" s="345"/>
    </row>
    <row r="223" spans="1:15" ht="12.75">
      <c r="A223" s="340" t="s">
        <v>34</v>
      </c>
      <c r="B223" s="493"/>
      <c r="C223" s="493"/>
      <c r="D223" s="1036"/>
      <c r="E223" s="212">
        <v>0.018000000000000002</v>
      </c>
      <c r="F223" s="213">
        <v>13</v>
      </c>
      <c r="G223" s="507">
        <v>70</v>
      </c>
      <c r="H223" s="324">
        <f>G223*E223</f>
        <v>1.2600000000000002</v>
      </c>
      <c r="I223" s="204">
        <f>(F223*1.3)/100</f>
        <v>0.169</v>
      </c>
      <c r="J223" s="204">
        <f>(F223*0.1)/100</f>
        <v>0.013000000000000001</v>
      </c>
      <c r="K223" s="204">
        <f>(F223*6.9)/100</f>
        <v>0.897</v>
      </c>
      <c r="L223" s="274">
        <f>(F223*35)/100</f>
        <v>4.55</v>
      </c>
      <c r="M223" s="345"/>
      <c r="N223" s="345"/>
      <c r="O223" s="345"/>
    </row>
    <row r="224" spans="1:15" ht="12.75">
      <c r="A224" s="711" t="s">
        <v>97</v>
      </c>
      <c r="B224" s="712"/>
      <c r="C224" s="712"/>
      <c r="D224" s="713"/>
      <c r="E224" s="714">
        <v>0.025</v>
      </c>
      <c r="F224" s="715">
        <v>20</v>
      </c>
      <c r="G224" s="716">
        <v>56</v>
      </c>
      <c r="H224" s="716">
        <f>G224*E224</f>
        <v>1.4000000000000001</v>
      </c>
      <c r="I224" s="258">
        <f>(F224*1.5)/100</f>
        <v>0.3</v>
      </c>
      <c r="J224" s="258">
        <f>(F224*0.1)/100</f>
        <v>0.02</v>
      </c>
      <c r="K224" s="54">
        <f>(F224*8.8)/100</f>
        <v>1.76</v>
      </c>
      <c r="L224" s="259">
        <f>(F224*42)/100</f>
        <v>8.4</v>
      </c>
      <c r="M224" s="345"/>
      <c r="N224" s="345"/>
      <c r="O224" s="345"/>
    </row>
    <row r="225" spans="1:15" ht="12.75">
      <c r="A225" s="248" t="s">
        <v>78</v>
      </c>
      <c r="B225" s="250"/>
      <c r="C225" s="250"/>
      <c r="D225" s="251"/>
      <c r="E225" s="717">
        <v>0.002</v>
      </c>
      <c r="F225" s="342">
        <v>2</v>
      </c>
      <c r="G225" s="507">
        <v>133</v>
      </c>
      <c r="H225" s="507">
        <f>E225*G225</f>
        <v>0.266</v>
      </c>
      <c r="I225" s="256">
        <f>(4.8*F225)/100</f>
        <v>0.096</v>
      </c>
      <c r="J225" s="256"/>
      <c r="K225" s="256">
        <f>(19*F225)/100</f>
        <v>0.38</v>
      </c>
      <c r="L225" s="532">
        <f>(102*F225)/100</f>
        <v>2.04</v>
      </c>
      <c r="M225" s="345"/>
      <c r="N225" s="345"/>
      <c r="O225" s="345"/>
    </row>
    <row r="226" spans="1:15" ht="12.75" customHeight="1">
      <c r="A226" s="1792" t="s">
        <v>246</v>
      </c>
      <c r="B226" s="1792"/>
      <c r="C226" s="1792"/>
      <c r="D226" s="20" t="s">
        <v>247</v>
      </c>
      <c r="E226" s="21"/>
      <c r="F226" s="719"/>
      <c r="G226" s="718"/>
      <c r="H226" s="106">
        <f>H227+H228+H231+H233+H234+H232+H235+H236+H229+H230</f>
        <v>39.318</v>
      </c>
      <c r="I226" s="108">
        <f>I227+I228+I231+I233+I234+I232+I235+I236+I229+I230</f>
        <v>14.996</v>
      </c>
      <c r="J226" s="108">
        <f>J227+J228+J231+J233+J234+J232+J235+J236+J229+J230</f>
        <v>14.600999999999999</v>
      </c>
      <c r="K226" s="108">
        <f>K227+K228+K231+K233+K234+K232+K235+K236+K229+K230</f>
        <v>15.343</v>
      </c>
      <c r="L226" s="108">
        <f>L227+L228+L231+L233+L234+L232+L235+L236+L229+L230</f>
        <v>256.36</v>
      </c>
      <c r="M226" s="345"/>
      <c r="N226" s="345"/>
      <c r="O226" s="345"/>
    </row>
    <row r="227" spans="1:15" ht="12.75">
      <c r="A227" s="589" t="s">
        <v>36</v>
      </c>
      <c r="B227" s="590"/>
      <c r="C227" s="590"/>
      <c r="D227" s="720"/>
      <c r="E227" s="721">
        <v>0.06</v>
      </c>
      <c r="F227" s="722">
        <v>55</v>
      </c>
      <c r="G227" s="144">
        <v>530</v>
      </c>
      <c r="H227" s="97">
        <f aca="true" t="shared" si="1" ref="H227:H233">E227*G227</f>
        <v>31.799999999999997</v>
      </c>
      <c r="I227" s="723">
        <f>(18.6*F227)/100</f>
        <v>10.23</v>
      </c>
      <c r="J227" s="723">
        <f>(16*F227)/100</f>
        <v>8.8</v>
      </c>
      <c r="K227" s="723"/>
      <c r="L227" s="724">
        <f>(218*F227)/100</f>
        <v>119.9</v>
      </c>
      <c r="M227" s="345"/>
      <c r="N227" s="345"/>
      <c r="O227" s="345"/>
    </row>
    <row r="228" spans="1:15" ht="13.5" customHeight="1">
      <c r="A228" s="217" t="s">
        <v>33</v>
      </c>
      <c r="B228" s="218"/>
      <c r="C228" s="218"/>
      <c r="D228" s="219"/>
      <c r="E228" s="77">
        <v>0.01</v>
      </c>
      <c r="F228" s="80">
        <v>8</v>
      </c>
      <c r="G228" s="32">
        <v>63</v>
      </c>
      <c r="H228" s="33">
        <f t="shared" si="1"/>
        <v>0.63</v>
      </c>
      <c r="I228" s="213">
        <f>(F228*1.4)/100</f>
        <v>0.11199999999999999</v>
      </c>
      <c r="J228" s="213">
        <f>(F228*0.2)/100</f>
        <v>0.016</v>
      </c>
      <c r="K228" s="213">
        <f>(F228*8.2)/100</f>
        <v>0.6559999999999999</v>
      </c>
      <c r="L228" s="216">
        <f>(F228*41)/100</f>
        <v>3.28</v>
      </c>
      <c r="M228" s="345"/>
      <c r="N228" s="345"/>
      <c r="O228" s="345"/>
    </row>
    <row r="229" spans="1:15" ht="13.5" customHeight="1">
      <c r="A229" s="217" t="s">
        <v>37</v>
      </c>
      <c r="B229" s="218"/>
      <c r="C229" s="218"/>
      <c r="D229" s="219"/>
      <c r="E229" s="77">
        <v>0.004</v>
      </c>
      <c r="F229" s="80">
        <v>4</v>
      </c>
      <c r="G229" s="53">
        <v>129</v>
      </c>
      <c r="H229" s="97">
        <f t="shared" si="1"/>
        <v>0.516</v>
      </c>
      <c r="I229" s="521"/>
      <c r="J229" s="455">
        <f>(F229*99.9)/100</f>
        <v>3.9960000000000004</v>
      </c>
      <c r="K229" s="80"/>
      <c r="L229" s="522">
        <f>(F229*899)/100</f>
        <v>35.96</v>
      </c>
      <c r="M229" s="345"/>
      <c r="N229" s="345"/>
      <c r="O229" s="345"/>
    </row>
    <row r="230" spans="1:15" ht="12.75" customHeight="1">
      <c r="A230" s="340" t="s">
        <v>42</v>
      </c>
      <c r="B230" s="341"/>
      <c r="C230" s="341"/>
      <c r="D230" s="725"/>
      <c r="E230" s="562">
        <v>0.01</v>
      </c>
      <c r="F230" s="564">
        <v>10</v>
      </c>
      <c r="G230" s="726">
        <v>64</v>
      </c>
      <c r="H230" s="535">
        <f t="shared" si="1"/>
        <v>0.64</v>
      </c>
      <c r="I230" s="455">
        <f>(F230*8)/100</f>
        <v>0.8</v>
      </c>
      <c r="J230" s="455">
        <f>(F230*1)/100</f>
        <v>0.1</v>
      </c>
      <c r="K230" s="455">
        <f>(F230*49.1)/100</f>
        <v>4.91</v>
      </c>
      <c r="L230" s="456">
        <f>(F230*238)/100</f>
        <v>23.8</v>
      </c>
      <c r="M230" s="345"/>
      <c r="N230" s="345"/>
      <c r="O230" s="345"/>
    </row>
    <row r="231" spans="1:15" ht="11.25" customHeight="1">
      <c r="A231" s="429" t="s">
        <v>76</v>
      </c>
      <c r="B231" s="430"/>
      <c r="C231" s="430"/>
      <c r="D231" s="520"/>
      <c r="E231" s="212">
        <v>0.003</v>
      </c>
      <c r="F231" s="213">
        <v>3</v>
      </c>
      <c r="G231" s="53">
        <v>49</v>
      </c>
      <c r="H231" s="97">
        <f t="shared" si="1"/>
        <v>0.147</v>
      </c>
      <c r="I231" s="455">
        <f>(F231*10.8)/100</f>
        <v>0.32400000000000007</v>
      </c>
      <c r="J231" s="455">
        <f>(F231*1.3)/100</f>
        <v>0.03900000000000001</v>
      </c>
      <c r="K231" s="455">
        <f>(F231*69.9)/100</f>
        <v>2.097</v>
      </c>
      <c r="L231" s="456">
        <f>(F231*334)/100</f>
        <v>10.02</v>
      </c>
      <c r="M231" s="345"/>
      <c r="N231" s="345"/>
      <c r="O231" s="345"/>
    </row>
    <row r="232" spans="1:15" ht="13.5" customHeight="1">
      <c r="A232" s="68" t="s">
        <v>46</v>
      </c>
      <c r="B232" s="70"/>
      <c r="C232" s="727"/>
      <c r="D232" s="728"/>
      <c r="E232" s="562">
        <v>0.006</v>
      </c>
      <c r="F232" s="564">
        <v>5</v>
      </c>
      <c r="G232" s="342">
        <v>230</v>
      </c>
      <c r="H232" s="729">
        <f t="shared" si="1"/>
        <v>1.3800000000000001</v>
      </c>
      <c r="I232" s="455">
        <f>(12.7*F232)/100</f>
        <v>0.635</v>
      </c>
      <c r="J232" s="455">
        <f>(F232*11.5)/100</f>
        <v>0.575</v>
      </c>
      <c r="K232" s="455">
        <f>(F232*0.7)/100</f>
        <v>0.035</v>
      </c>
      <c r="L232" s="456">
        <f>(157*F232)/100</f>
        <v>7.85</v>
      </c>
      <c r="M232" s="345"/>
      <c r="N232" s="345"/>
      <c r="O232" s="345"/>
    </row>
    <row r="233" spans="1:15" ht="12.75">
      <c r="A233" s="68" t="s">
        <v>18</v>
      </c>
      <c r="B233" s="69"/>
      <c r="C233" s="69"/>
      <c r="D233" s="289"/>
      <c r="E233" s="77">
        <v>0.02</v>
      </c>
      <c r="F233" s="78">
        <v>20</v>
      </c>
      <c r="G233" s="730">
        <v>72</v>
      </c>
      <c r="H233" s="97">
        <f t="shared" si="1"/>
        <v>1.44</v>
      </c>
      <c r="I233" s="731">
        <f>(2.9*F233)/100</f>
        <v>0.58</v>
      </c>
      <c r="J233" s="63">
        <f>(F233*2.5)/100</f>
        <v>0.5</v>
      </c>
      <c r="K233" s="63">
        <f>(4.8*F233)/100</f>
        <v>0.96</v>
      </c>
      <c r="L233" s="64">
        <f>(F233*60)/100</f>
        <v>12</v>
      </c>
      <c r="M233" s="345"/>
      <c r="N233" s="345"/>
      <c r="O233" s="345"/>
    </row>
    <row r="234" spans="1:15" ht="12.75">
      <c r="A234" s="68" t="s">
        <v>100</v>
      </c>
      <c r="B234" s="69"/>
      <c r="C234" s="69"/>
      <c r="D234" s="289"/>
      <c r="E234" s="77"/>
      <c r="F234" s="78"/>
      <c r="G234" s="214"/>
      <c r="H234" s="215"/>
      <c r="I234" s="213"/>
      <c r="J234" s="213"/>
      <c r="K234" s="213"/>
      <c r="L234" s="216"/>
      <c r="M234" s="345"/>
      <c r="N234" s="345"/>
      <c r="O234" s="345"/>
    </row>
    <row r="235" spans="1:15" ht="12.75">
      <c r="A235" s="68" t="s">
        <v>18</v>
      </c>
      <c r="B235" s="69"/>
      <c r="C235" s="69"/>
      <c r="D235" s="289"/>
      <c r="E235" s="77">
        <v>0.035</v>
      </c>
      <c r="F235" s="78">
        <v>35</v>
      </c>
      <c r="G235" s="507">
        <v>72</v>
      </c>
      <c r="H235" s="507">
        <f>E235*G235</f>
        <v>2.5200000000000005</v>
      </c>
      <c r="I235" s="256">
        <f>(4.8*F235)/100</f>
        <v>1.68</v>
      </c>
      <c r="J235" s="256"/>
      <c r="K235" s="256">
        <f>(19*F235)/100</f>
        <v>6.65</v>
      </c>
      <c r="L235" s="532">
        <f>(102*F235)/100</f>
        <v>35.7</v>
      </c>
      <c r="M235" s="345"/>
      <c r="N235" s="345"/>
      <c r="O235" s="345"/>
    </row>
    <row r="236" spans="1:15" ht="12.75">
      <c r="A236" s="523" t="s">
        <v>76</v>
      </c>
      <c r="B236" s="524"/>
      <c r="C236" s="525"/>
      <c r="D236" s="526"/>
      <c r="E236" s="527">
        <v>0.005</v>
      </c>
      <c r="F236" s="528">
        <v>5</v>
      </c>
      <c r="G236" s="229">
        <v>49</v>
      </c>
      <c r="H236" s="529">
        <f>E236*G236</f>
        <v>0.245</v>
      </c>
      <c r="I236" s="530">
        <f>(12.7*F236)/100</f>
        <v>0.635</v>
      </c>
      <c r="J236" s="530">
        <f>(F236*11.5)/100</f>
        <v>0.575</v>
      </c>
      <c r="K236" s="530">
        <f>(F236*0.7)/100</f>
        <v>0.035</v>
      </c>
      <c r="L236" s="531">
        <f>(157*F236)/100</f>
        <v>7.85</v>
      </c>
      <c r="M236" s="345"/>
      <c r="N236" s="345"/>
      <c r="O236" s="345"/>
    </row>
    <row r="237" spans="1:15" ht="12.75">
      <c r="A237" s="1780" t="s">
        <v>101</v>
      </c>
      <c r="B237" s="1780"/>
      <c r="C237" s="1780"/>
      <c r="D237" s="281">
        <v>110</v>
      </c>
      <c r="E237" s="282"/>
      <c r="F237" s="282"/>
      <c r="G237" s="283"/>
      <c r="H237" s="284">
        <f>H238+H239</f>
        <v>3.291</v>
      </c>
      <c r="I237" s="285">
        <f>SUM(I238:I239)</f>
        <v>4.430000000000001</v>
      </c>
      <c r="J237" s="285">
        <f>SUM(J238:J239)</f>
        <v>2.695</v>
      </c>
      <c r="K237" s="285">
        <f>SUM(K238:K239)</f>
        <v>27.882</v>
      </c>
      <c r="L237" s="285">
        <f>SUM(L238:L239)</f>
        <v>155.06</v>
      </c>
      <c r="M237" s="345"/>
      <c r="N237" s="345"/>
      <c r="O237" s="345"/>
    </row>
    <row r="238" spans="1:15" ht="12.75">
      <c r="A238" s="340" t="s">
        <v>102</v>
      </c>
      <c r="B238" s="341"/>
      <c r="C238" s="341"/>
      <c r="D238" s="517"/>
      <c r="E238" s="533">
        <v>0.04</v>
      </c>
      <c r="F238" s="534">
        <v>40</v>
      </c>
      <c r="G238" s="535">
        <v>63</v>
      </c>
      <c r="H238" s="535">
        <f>E238*G238</f>
        <v>2.52</v>
      </c>
      <c r="I238" s="85">
        <f>(11*F238)/100</f>
        <v>4.4</v>
      </c>
      <c r="J238" s="85">
        <f>(1.3*F238)/100</f>
        <v>0.52</v>
      </c>
      <c r="K238" s="85">
        <f>(69.6*F238)/100</f>
        <v>27.84</v>
      </c>
      <c r="L238" s="86">
        <f>(338*F238)/100</f>
        <v>135.2</v>
      </c>
      <c r="M238" s="345"/>
      <c r="N238" s="345"/>
      <c r="O238" s="345"/>
    </row>
    <row r="239" spans="1:15" ht="12.75">
      <c r="A239" s="68" t="s">
        <v>16</v>
      </c>
      <c r="B239" s="341"/>
      <c r="C239" s="341"/>
      <c r="D239" s="517"/>
      <c r="E239" s="536">
        <v>0.003</v>
      </c>
      <c r="F239" s="537">
        <v>3</v>
      </c>
      <c r="G239" s="79">
        <v>257</v>
      </c>
      <c r="H239" s="290">
        <f>G239*E239</f>
        <v>0.771</v>
      </c>
      <c r="I239" s="45">
        <f>(F239*1)/100</f>
        <v>0.03</v>
      </c>
      <c r="J239" s="45">
        <f>(F239*72.5)/100</f>
        <v>2.175</v>
      </c>
      <c r="K239" s="45">
        <f>(F239*1.4)/100</f>
        <v>0.041999999999999996</v>
      </c>
      <c r="L239" s="46">
        <f>(F239*662)/100</f>
        <v>19.86</v>
      </c>
      <c r="M239" s="345"/>
      <c r="N239" s="345"/>
      <c r="O239" s="345"/>
    </row>
    <row r="240" spans="1:15" ht="12.75">
      <c r="A240" s="1780" t="s">
        <v>248</v>
      </c>
      <c r="B240" s="1780"/>
      <c r="C240" s="1780"/>
      <c r="D240" s="281">
        <v>150</v>
      </c>
      <c r="E240" s="282"/>
      <c r="F240" s="282"/>
      <c r="G240" s="283"/>
      <c r="H240" s="284">
        <f>H241+H242</f>
        <v>4.460000000000001</v>
      </c>
      <c r="I240" s="285">
        <f>I241+I242</f>
        <v>0.065</v>
      </c>
      <c r="J240" s="285">
        <f>J241+J242</f>
        <v>0.026000000000000002</v>
      </c>
      <c r="K240" s="285">
        <f>K241+K242</f>
        <v>12.456999999999999</v>
      </c>
      <c r="L240" s="285">
        <f>L241+L242</f>
        <v>51.52</v>
      </c>
      <c r="M240" s="345"/>
      <c r="N240" s="345"/>
      <c r="O240" s="345"/>
    </row>
    <row r="241" spans="1:15" ht="12.75">
      <c r="A241" s="68" t="s">
        <v>104</v>
      </c>
      <c r="B241" s="69"/>
      <c r="C241" s="69"/>
      <c r="D241" s="289"/>
      <c r="E241" s="77">
        <v>0.013000000000000001</v>
      </c>
      <c r="F241" s="78">
        <v>13</v>
      </c>
      <c r="G241" s="79">
        <v>260</v>
      </c>
      <c r="H241" s="290">
        <f>G241*E241</f>
        <v>3.3800000000000003</v>
      </c>
      <c r="I241" s="111">
        <f>(F241*0.5)/100</f>
        <v>0.065</v>
      </c>
      <c r="J241" s="111">
        <f>(0.2*F241)/100</f>
        <v>0.026000000000000002</v>
      </c>
      <c r="K241" s="111">
        <f>(3.7*F241)/100</f>
        <v>0.48100000000000004</v>
      </c>
      <c r="L241" s="263">
        <f>(28*F241)/100</f>
        <v>3.64</v>
      </c>
      <c r="M241" s="345"/>
      <c r="N241" s="345"/>
      <c r="O241" s="345"/>
    </row>
    <row r="242" spans="1:15" ht="12.75">
      <c r="A242" s="340" t="s">
        <v>17</v>
      </c>
      <c r="B242" s="493"/>
      <c r="C242" s="542"/>
      <c r="D242" s="543"/>
      <c r="E242" s="544">
        <v>0.012</v>
      </c>
      <c r="F242" s="545">
        <v>12</v>
      </c>
      <c r="G242" s="546">
        <v>90</v>
      </c>
      <c r="H242" s="33">
        <f>E242*G242</f>
        <v>1.08</v>
      </c>
      <c r="I242" s="80"/>
      <c r="J242" s="80"/>
      <c r="K242" s="80">
        <f>(F242*99.8)/100</f>
        <v>11.975999999999999</v>
      </c>
      <c r="L242" s="81">
        <f>(F242*399)/100</f>
        <v>47.88</v>
      </c>
      <c r="M242" s="345"/>
      <c r="N242" s="345"/>
      <c r="O242" s="345"/>
    </row>
    <row r="243" spans="1:15" ht="12.75">
      <c r="A243" s="1773" t="s">
        <v>41</v>
      </c>
      <c r="B243" s="1773"/>
      <c r="C243" s="1773"/>
      <c r="D243" s="927">
        <v>30</v>
      </c>
      <c r="E243" s="66">
        <v>0.03</v>
      </c>
      <c r="F243" s="21">
        <v>30</v>
      </c>
      <c r="G243" s="22">
        <v>35</v>
      </c>
      <c r="H243" s="23">
        <f>E243*G243</f>
        <v>1.05</v>
      </c>
      <c r="I243" s="294">
        <f>(6.6*F243)/100</f>
        <v>1.98</v>
      </c>
      <c r="J243" s="294">
        <f>(1.2*F243)/100</f>
        <v>0.36</v>
      </c>
      <c r="K243" s="294">
        <f>(33.4*F243)/100</f>
        <v>10.02</v>
      </c>
      <c r="L243" s="67">
        <f>(174*F243)/100</f>
        <v>52.2</v>
      </c>
      <c r="M243" s="345"/>
      <c r="N243" s="345"/>
      <c r="O243" s="345"/>
    </row>
    <row r="244" spans="1:15" ht="12.75">
      <c r="A244" s="1773" t="s">
        <v>42</v>
      </c>
      <c r="B244" s="1773"/>
      <c r="C244" s="1773"/>
      <c r="D244" s="853">
        <v>20</v>
      </c>
      <c r="E244" s="66">
        <v>0.02</v>
      </c>
      <c r="F244" s="21">
        <v>20</v>
      </c>
      <c r="G244" s="22">
        <v>64</v>
      </c>
      <c r="H244" s="23">
        <f>E244*G244</f>
        <v>1.28</v>
      </c>
      <c r="I244" s="294">
        <f>(F244*8)/100</f>
        <v>1.6</v>
      </c>
      <c r="J244" s="294">
        <f>(F244*1)/100</f>
        <v>0.2</v>
      </c>
      <c r="K244" s="294">
        <f>(F244*49.1)/100</f>
        <v>9.82</v>
      </c>
      <c r="L244" s="67">
        <f>(F244*238)/100</f>
        <v>47.6</v>
      </c>
      <c r="M244" s="345"/>
      <c r="N244" s="345"/>
      <c r="O244" s="345"/>
    </row>
    <row r="245" spans="1:15" ht="12.75">
      <c r="A245" s="56"/>
      <c r="B245" s="221"/>
      <c r="C245" s="221"/>
      <c r="D245" s="247"/>
      <c r="E245" s="57"/>
      <c r="F245" s="57"/>
      <c r="G245" s="209"/>
      <c r="H245" s="209"/>
      <c r="I245" s="223"/>
      <c r="J245" s="223"/>
      <c r="K245" s="223"/>
      <c r="L245" s="732"/>
      <c r="M245" s="345"/>
      <c r="N245" s="345"/>
      <c r="O245" s="345"/>
    </row>
    <row r="246" spans="1:15" ht="15.75">
      <c r="A246" s="733"/>
      <c r="B246" s="675"/>
      <c r="C246" s="734" t="s">
        <v>43</v>
      </c>
      <c r="D246" s="735"/>
      <c r="E246" s="734"/>
      <c r="F246" s="734"/>
      <c r="G246" s="679"/>
      <c r="H246" s="679">
        <f>H243+H240+H237+H226+H216+H244</f>
        <v>67.255</v>
      </c>
      <c r="I246" s="736"/>
      <c r="J246" s="680"/>
      <c r="K246" s="680"/>
      <c r="L246" s="737"/>
      <c r="M246" s="345"/>
      <c r="N246" s="345"/>
      <c r="O246" s="345"/>
    </row>
    <row r="247" spans="1:15" ht="12.75">
      <c r="A247" s="738"/>
      <c r="B247" s="739" t="s">
        <v>24</v>
      </c>
      <c r="C247" s="740"/>
      <c r="D247" s="741"/>
      <c r="E247" s="740"/>
      <c r="F247" s="740"/>
      <c r="G247" s="742"/>
      <c r="H247" s="742"/>
      <c r="I247" s="743">
        <f>I244+I243+I240+I237+I226+I216</f>
        <v>29.053</v>
      </c>
      <c r="J247" s="743">
        <f>J244+J243+J240+J237+J226+J216</f>
        <v>24.260999999999996</v>
      </c>
      <c r="K247" s="743">
        <f>K244+K243+K240+K237+K226+K216</f>
        <v>87.813</v>
      </c>
      <c r="L247" s="743">
        <f>L244+L243+L240+L237+L226+L216</f>
        <v>694.15</v>
      </c>
      <c r="M247" s="345"/>
      <c r="N247" s="345"/>
      <c r="O247" s="345"/>
    </row>
    <row r="248" spans="1:15" ht="12.75">
      <c r="A248" s="57"/>
      <c r="B248" s="57"/>
      <c r="C248" s="57"/>
      <c r="D248" s="208"/>
      <c r="E248" s="57"/>
      <c r="F248" s="57"/>
      <c r="G248" s="209"/>
      <c r="H248" s="209"/>
      <c r="I248" s="57"/>
      <c r="J248" s="208"/>
      <c r="K248" s="57"/>
      <c r="L248" s="744">
        <f>L247/1400</f>
        <v>0.4958214285714286</v>
      </c>
      <c r="M248" s="345"/>
      <c r="N248" s="345"/>
      <c r="O248" s="345"/>
    </row>
    <row r="249" spans="1:14" ht="12.75">
      <c r="A249" s="634" t="s">
        <v>44</v>
      </c>
      <c r="B249" s="634" t="s">
        <v>105</v>
      </c>
      <c r="C249" s="57"/>
      <c r="D249" s="208"/>
      <c r="E249" s="57"/>
      <c r="F249" s="57"/>
      <c r="G249" s="57"/>
      <c r="H249" s="57"/>
      <c r="I249" s="634"/>
      <c r="J249" s="634"/>
      <c r="K249" s="209"/>
      <c r="L249" s="208"/>
      <c r="N249" s="131"/>
    </row>
    <row r="250" spans="1:14" ht="12.75" customHeight="1">
      <c r="A250" s="1823"/>
      <c r="B250" s="1823"/>
      <c r="C250" s="1823"/>
      <c r="D250" s="234"/>
      <c r="E250" s="647"/>
      <c r="F250" s="648"/>
      <c r="G250" s="91"/>
      <c r="H250" s="1009"/>
      <c r="I250" s="1010"/>
      <c r="J250" s="1010"/>
      <c r="K250" s="1010"/>
      <c r="L250" s="1010"/>
      <c r="N250" s="286"/>
    </row>
    <row r="251" spans="1:14" ht="27.75" customHeight="1">
      <c r="A251" s="1793" t="s">
        <v>106</v>
      </c>
      <c r="B251" s="1793"/>
      <c r="C251" s="1793"/>
      <c r="D251" s="281" t="s">
        <v>247</v>
      </c>
      <c r="E251" s="282"/>
      <c r="F251" s="282"/>
      <c r="G251" s="283"/>
      <c r="H251" s="284">
        <f>SUM(H252:H260)</f>
        <v>29.078</v>
      </c>
      <c r="I251" s="745">
        <f>SUM(I252:I260)</f>
        <v>11.447999999999999</v>
      </c>
      <c r="J251" s="745">
        <f>SUM(J252:J260)</f>
        <v>8.07</v>
      </c>
      <c r="K251" s="745">
        <f>SUM(K252:K260)</f>
        <v>4.221</v>
      </c>
      <c r="L251" s="285">
        <f>SUM(L252:L260)</f>
        <v>135.39</v>
      </c>
      <c r="N251" s="19"/>
    </row>
    <row r="252" spans="1:14" ht="12.75">
      <c r="A252" s="538" t="s">
        <v>107</v>
      </c>
      <c r="B252" s="907"/>
      <c r="C252" s="908"/>
      <c r="D252" s="251"/>
      <c r="E252" s="261">
        <v>0.08</v>
      </c>
      <c r="F252" s="262">
        <v>60</v>
      </c>
      <c r="G252" s="112">
        <v>300</v>
      </c>
      <c r="H252" s="112">
        <f>E252*G252</f>
        <v>24</v>
      </c>
      <c r="I252" s="111">
        <f>(F252*17.2)/100</f>
        <v>10.32</v>
      </c>
      <c r="J252" s="111">
        <f>(0.5*F252)/100</f>
        <v>0.3</v>
      </c>
      <c r="K252" s="111"/>
      <c r="L252" s="909">
        <f>(73*F252)/100</f>
        <v>43.8</v>
      </c>
      <c r="N252" s="286"/>
    </row>
    <row r="253" spans="1:14" ht="12.75">
      <c r="A253" s="68" t="s">
        <v>16</v>
      </c>
      <c r="B253" s="341"/>
      <c r="C253" s="341"/>
      <c r="D253" s="517"/>
      <c r="E253" s="77">
        <v>0.004</v>
      </c>
      <c r="F253" s="78">
        <v>4</v>
      </c>
      <c r="G253" s="79">
        <v>300</v>
      </c>
      <c r="H253" s="290">
        <f>G253*E253</f>
        <v>1.2</v>
      </c>
      <c r="I253" s="45">
        <f>(F253*1)/100</f>
        <v>0.04</v>
      </c>
      <c r="J253" s="45">
        <f>(F253*72.5)/100</f>
        <v>2.9</v>
      </c>
      <c r="K253" s="45">
        <f>(F253*1.4)/100</f>
        <v>0.055999999999999994</v>
      </c>
      <c r="L253" s="46">
        <f>(F253*662)/100</f>
        <v>26.48</v>
      </c>
      <c r="N253" s="286"/>
    </row>
    <row r="254" spans="1:14" ht="12.75">
      <c r="A254" s="340" t="s">
        <v>37</v>
      </c>
      <c r="B254" s="341"/>
      <c r="C254" s="341"/>
      <c r="D254" s="725"/>
      <c r="E254" s="562">
        <v>0.003</v>
      </c>
      <c r="F254" s="564">
        <v>3</v>
      </c>
      <c r="G254" s="505">
        <v>129</v>
      </c>
      <c r="H254" s="214">
        <f>E254*G254</f>
        <v>0.387</v>
      </c>
      <c r="I254" s="257"/>
      <c r="J254" s="258">
        <f>(F254*99.9)/100</f>
        <v>2.9970000000000003</v>
      </c>
      <c r="K254" s="54"/>
      <c r="L254" s="259">
        <f>(F254*899)/100</f>
        <v>26.97</v>
      </c>
      <c r="N254" s="747"/>
    </row>
    <row r="255" spans="1:14" ht="12.75">
      <c r="A255" s="340" t="s">
        <v>33</v>
      </c>
      <c r="B255" s="341"/>
      <c r="C255" s="341"/>
      <c r="D255" s="725"/>
      <c r="E255" s="562">
        <v>0.015</v>
      </c>
      <c r="F255" s="564">
        <v>12</v>
      </c>
      <c r="G255" s="505">
        <v>63</v>
      </c>
      <c r="H255" s="214">
        <f>G255*E255</f>
        <v>0.945</v>
      </c>
      <c r="I255" s="204">
        <f>(F255*1.4)/100</f>
        <v>0.16799999999999998</v>
      </c>
      <c r="J255" s="204">
        <f>(F255*0.2)/100</f>
        <v>0.024000000000000004</v>
      </c>
      <c r="K255" s="204">
        <f>(F255*8.2)/100</f>
        <v>0.9839999999999999</v>
      </c>
      <c r="L255" s="205">
        <f>(F255*41)/100</f>
        <v>4.92</v>
      </c>
      <c r="N255" s="747"/>
    </row>
    <row r="256" spans="1:14" ht="12.75">
      <c r="A256" s="340" t="s">
        <v>34</v>
      </c>
      <c r="B256" s="341"/>
      <c r="C256" s="341"/>
      <c r="D256" s="725"/>
      <c r="E256" s="562">
        <v>0.02</v>
      </c>
      <c r="F256" s="564">
        <v>15</v>
      </c>
      <c r="G256" s="505">
        <v>70</v>
      </c>
      <c r="H256" s="214">
        <f>G256*E256</f>
        <v>1.4000000000000001</v>
      </c>
      <c r="I256" s="204">
        <f>(F256*1.3)/100</f>
        <v>0.195</v>
      </c>
      <c r="J256" s="204">
        <f>(F256*0.1)/100</f>
        <v>0.015</v>
      </c>
      <c r="K256" s="204">
        <f>(F256*6.9)/100</f>
        <v>1.035</v>
      </c>
      <c r="L256" s="274">
        <f>(F256*35)/100</f>
        <v>5.25</v>
      </c>
      <c r="N256" s="747"/>
    </row>
    <row r="257" spans="1:14" ht="12.75">
      <c r="A257" s="340" t="s">
        <v>108</v>
      </c>
      <c r="B257" s="341"/>
      <c r="C257" s="341"/>
      <c r="D257" s="725"/>
      <c r="E257" s="562"/>
      <c r="F257" s="564"/>
      <c r="G257" s="505"/>
      <c r="H257" s="214"/>
      <c r="I257" s="257"/>
      <c r="J257" s="258"/>
      <c r="K257" s="54"/>
      <c r="L257" s="259"/>
      <c r="N257" s="747"/>
    </row>
    <row r="258" spans="1:14" ht="12.75">
      <c r="A258" s="68" t="s">
        <v>16</v>
      </c>
      <c r="B258" s="341"/>
      <c r="C258" s="341"/>
      <c r="D258" s="517"/>
      <c r="E258" s="77">
        <v>0.002</v>
      </c>
      <c r="F258" s="78">
        <v>2</v>
      </c>
      <c r="G258" s="79">
        <v>300</v>
      </c>
      <c r="H258" s="290">
        <f>G258*E258</f>
        <v>0.6</v>
      </c>
      <c r="I258" s="45">
        <f>(F258*1)/100</f>
        <v>0.02</v>
      </c>
      <c r="J258" s="45">
        <f>(F258*72.5)/100</f>
        <v>1.45</v>
      </c>
      <c r="K258" s="45">
        <f>(F258*1.4)/100</f>
        <v>0.027999999999999997</v>
      </c>
      <c r="L258" s="46">
        <f>(F258*662)/100</f>
        <v>13.24</v>
      </c>
      <c r="N258" s="747"/>
    </row>
    <row r="259" spans="1:14" ht="12.75">
      <c r="A259" s="340" t="s">
        <v>78</v>
      </c>
      <c r="B259" s="341"/>
      <c r="C259" s="341"/>
      <c r="D259" s="725"/>
      <c r="E259" s="562">
        <v>0.003</v>
      </c>
      <c r="F259" s="564">
        <v>3</v>
      </c>
      <c r="G259" s="505">
        <v>133</v>
      </c>
      <c r="H259" s="214">
        <f>E259*G259</f>
        <v>0.399</v>
      </c>
      <c r="I259" s="258">
        <f>(12.7*F259)/100</f>
        <v>0.38099999999999995</v>
      </c>
      <c r="J259" s="258">
        <f>(F259*11.5)/100</f>
        <v>0.345</v>
      </c>
      <c r="K259" s="258">
        <f>(F259*0.7)/100</f>
        <v>0.021</v>
      </c>
      <c r="L259" s="327">
        <f>(157*F259)/100</f>
        <v>4.71</v>
      </c>
      <c r="N259" s="747"/>
    </row>
    <row r="260" spans="1:14" ht="12.75">
      <c r="A260" s="566" t="s">
        <v>76</v>
      </c>
      <c r="B260" s="567"/>
      <c r="C260" s="567"/>
      <c r="D260" s="748"/>
      <c r="E260" s="527">
        <v>0.003</v>
      </c>
      <c r="F260" s="528">
        <v>3</v>
      </c>
      <c r="G260" s="640">
        <v>49</v>
      </c>
      <c r="H260" s="642">
        <f>E260*G260</f>
        <v>0.147</v>
      </c>
      <c r="I260" s="749">
        <f>(F260*10.8)/100</f>
        <v>0.32400000000000007</v>
      </c>
      <c r="J260" s="749">
        <f>(F260*1.3)/100</f>
        <v>0.03900000000000001</v>
      </c>
      <c r="K260" s="749">
        <f>(F260*69.9)/100</f>
        <v>2.097</v>
      </c>
      <c r="L260" s="750">
        <f>(F260*334)/100</f>
        <v>10.02</v>
      </c>
      <c r="N260" s="747"/>
    </row>
    <row r="261" spans="1:14" ht="12.75">
      <c r="A261" s="309" t="s">
        <v>109</v>
      </c>
      <c r="B261" s="310"/>
      <c r="C261" s="310"/>
      <c r="D261" s="311">
        <v>100</v>
      </c>
      <c r="E261" s="312"/>
      <c r="F261" s="282"/>
      <c r="G261" s="283"/>
      <c r="H261" s="284">
        <f>SUM(H262:H264)</f>
        <v>9.500000000000002</v>
      </c>
      <c r="I261" s="285">
        <f>I262+I263+I264</f>
        <v>2.5</v>
      </c>
      <c r="J261" s="285">
        <f>J262+J263+J264</f>
        <v>3.245</v>
      </c>
      <c r="K261" s="285">
        <f>K262+K263+K264</f>
        <v>14.521999999999998</v>
      </c>
      <c r="L261" s="285">
        <f>L262+L263+L264</f>
        <v>99.46</v>
      </c>
      <c r="N261" s="634"/>
    </row>
    <row r="262" spans="1:14" ht="12.75">
      <c r="A262" s="429" t="s">
        <v>32</v>
      </c>
      <c r="B262" s="430"/>
      <c r="C262" s="430"/>
      <c r="D262" s="751"/>
      <c r="E262" s="752">
        <v>0.115</v>
      </c>
      <c r="F262" s="753">
        <v>80</v>
      </c>
      <c r="G262" s="192">
        <v>56</v>
      </c>
      <c r="H262" s="192">
        <f>E262*G262</f>
        <v>6.44</v>
      </c>
      <c r="I262" s="204">
        <f>(F262*2)/100</f>
        <v>1.6</v>
      </c>
      <c r="J262" s="204">
        <f>(F262*0.4)/100</f>
        <v>0.32</v>
      </c>
      <c r="K262" s="204">
        <f>(F262*16.3)/100</f>
        <v>13.04</v>
      </c>
      <c r="L262" s="205">
        <f>(F262*77)/100</f>
        <v>61.6</v>
      </c>
      <c r="N262" s="221"/>
    </row>
    <row r="263" spans="1:14" ht="12.75">
      <c r="A263" s="429" t="s">
        <v>18</v>
      </c>
      <c r="B263" s="430"/>
      <c r="C263" s="430"/>
      <c r="D263" s="751"/>
      <c r="E263" s="754">
        <v>0.03</v>
      </c>
      <c r="F263" s="755">
        <v>30</v>
      </c>
      <c r="G263" s="756">
        <v>72</v>
      </c>
      <c r="H263" s="756">
        <f>G263*E263</f>
        <v>2.16</v>
      </c>
      <c r="I263" s="63">
        <f>(2.9*F263)/100</f>
        <v>0.87</v>
      </c>
      <c r="J263" s="63">
        <f>(F263*2.5)/100</f>
        <v>0.75</v>
      </c>
      <c r="K263" s="63">
        <f>(4.8*F263)/100</f>
        <v>1.44</v>
      </c>
      <c r="L263" s="64">
        <f>(F263*60)/100</f>
        <v>18</v>
      </c>
      <c r="N263" s="221"/>
    </row>
    <row r="264" spans="1:14" ht="12.75">
      <c r="A264" s="429" t="s">
        <v>16</v>
      </c>
      <c r="B264" s="430"/>
      <c r="C264" s="430"/>
      <c r="D264" s="751"/>
      <c r="E264" s="544">
        <v>0.003</v>
      </c>
      <c r="F264" s="545">
        <v>3</v>
      </c>
      <c r="G264" s="546">
        <v>300</v>
      </c>
      <c r="H264" s="756">
        <f>G264*E264</f>
        <v>0.9</v>
      </c>
      <c r="I264" s="45">
        <f>(F264*1)/100</f>
        <v>0.03</v>
      </c>
      <c r="J264" s="45">
        <f>(F264*72.5)/100</f>
        <v>2.175</v>
      </c>
      <c r="K264" s="45">
        <f>(F264*1.4)/100</f>
        <v>0.041999999999999996</v>
      </c>
      <c r="L264" s="46">
        <f>(F264*662)/100</f>
        <v>19.86</v>
      </c>
      <c r="N264" s="221"/>
    </row>
    <row r="265" spans="1:14" ht="12.75">
      <c r="A265" s="1776" t="s">
        <v>42</v>
      </c>
      <c r="B265" s="1776"/>
      <c r="C265" s="1776"/>
      <c r="D265" s="234">
        <v>20</v>
      </c>
      <c r="E265" s="235">
        <v>0.02</v>
      </c>
      <c r="F265" s="236">
        <v>20</v>
      </c>
      <c r="G265" s="137">
        <v>64</v>
      </c>
      <c r="H265" s="138">
        <f>E265*G265</f>
        <v>1.28</v>
      </c>
      <c r="I265" s="757">
        <f>(F265*8)/100</f>
        <v>1.6</v>
      </c>
      <c r="J265" s="757">
        <f>(F265*1)/100</f>
        <v>0.2</v>
      </c>
      <c r="K265" s="757">
        <f>(F265*49.1)/100</f>
        <v>9.82</v>
      </c>
      <c r="L265" s="758">
        <f>(F265*238)/100</f>
        <v>47.6</v>
      </c>
      <c r="N265" s="28"/>
    </row>
    <row r="266" spans="1:14" ht="12.75">
      <c r="A266" s="1801" t="s">
        <v>49</v>
      </c>
      <c r="B266" s="1801"/>
      <c r="C266" s="1801"/>
      <c r="D266" s="1021">
        <v>150</v>
      </c>
      <c r="E266" s="90"/>
      <c r="F266" s="1022"/>
      <c r="G266" s="1022"/>
      <c r="H266" s="1009">
        <f>H267+H268+H269</f>
        <v>1.214</v>
      </c>
      <c r="I266" s="1023">
        <f>SUM(I267:I269)</f>
        <v>0</v>
      </c>
      <c r="J266" s="1023">
        <f>SUM(J267:J269)</f>
        <v>0</v>
      </c>
      <c r="K266" s="1023">
        <f>SUM(K267:K269)</f>
        <v>10.978</v>
      </c>
      <c r="L266" s="1010">
        <f>SUM(L267:L269)</f>
        <v>43.89</v>
      </c>
      <c r="N266" s="28"/>
    </row>
    <row r="267" spans="1:14" ht="12.75" customHeight="1">
      <c r="A267" s="1824" t="s">
        <v>20</v>
      </c>
      <c r="B267" s="1824"/>
      <c r="C267" s="1824"/>
      <c r="D267" s="1416"/>
      <c r="E267" s="592">
        <v>0.0005</v>
      </c>
      <c r="F267" s="1417">
        <v>0.5</v>
      </c>
      <c r="G267" s="97">
        <v>448</v>
      </c>
      <c r="H267" s="54">
        <f>G267*E267</f>
        <v>0.224</v>
      </c>
      <c r="I267" s="54"/>
      <c r="J267" s="54"/>
      <c r="K267" s="54"/>
      <c r="L267" s="1371"/>
      <c r="N267" s="28"/>
    </row>
    <row r="268" spans="1:14" ht="12.75">
      <c r="A268" s="589" t="s">
        <v>17</v>
      </c>
      <c r="B268" s="590"/>
      <c r="C268" s="590"/>
      <c r="D268" s="1416"/>
      <c r="E268" s="95">
        <v>0.011</v>
      </c>
      <c r="F268" s="1418">
        <v>11</v>
      </c>
      <c r="G268" s="97">
        <v>90</v>
      </c>
      <c r="H268" s="54">
        <f>G268*E268</f>
        <v>0.99</v>
      </c>
      <c r="I268" s="54"/>
      <c r="J268" s="54"/>
      <c r="K268" s="54">
        <f>(F268*99.8)/100</f>
        <v>10.978</v>
      </c>
      <c r="L268" s="55">
        <f>(F268*399)/100</f>
        <v>43.89</v>
      </c>
      <c r="N268" s="28"/>
    </row>
    <row r="269" spans="1:14" ht="12.75">
      <c r="A269" s="457"/>
      <c r="B269" s="458"/>
      <c r="C269" s="474"/>
      <c r="D269" s="475"/>
      <c r="E269" s="476"/>
      <c r="F269" s="477"/>
      <c r="G269" s="478"/>
      <c r="H269" s="478"/>
      <c r="I269" s="479"/>
      <c r="J269" s="479"/>
      <c r="K269" s="479"/>
      <c r="L269" s="480"/>
      <c r="N269" s="28"/>
    </row>
    <row r="270" spans="4:14" ht="12.75">
      <c r="D270" s="4"/>
      <c r="N270" s="28"/>
    </row>
    <row r="271" spans="1:14" ht="15.75">
      <c r="A271" s="768"/>
      <c r="B271" s="769"/>
      <c r="C271" s="770" t="s">
        <v>50</v>
      </c>
      <c r="D271" s="658"/>
      <c r="E271" s="771"/>
      <c r="F271" s="771"/>
      <c r="G271" s="772"/>
      <c r="H271" s="660">
        <f>H266+H265+H261+H251</f>
        <v>41.072</v>
      </c>
      <c r="I271" s="773"/>
      <c r="J271" s="773"/>
      <c r="K271" s="773"/>
      <c r="L271" s="663"/>
      <c r="N271" s="286"/>
    </row>
    <row r="272" spans="1:12" ht="12.75">
      <c r="A272" s="774"/>
      <c r="B272" s="775"/>
      <c r="C272" s="776" t="s">
        <v>24</v>
      </c>
      <c r="D272" s="777"/>
      <c r="E272" s="442"/>
      <c r="F272" s="442"/>
      <c r="G272" s="443"/>
      <c r="H272" s="443"/>
      <c r="I272" s="778">
        <f>I266+I265+I261+I251</f>
        <v>15.547999999999998</v>
      </c>
      <c r="J272" s="778">
        <f>J266+J265+J261+J251</f>
        <v>11.515</v>
      </c>
      <c r="K272" s="778">
        <f>K266+K265+K261+K251</f>
        <v>39.541</v>
      </c>
      <c r="L272" s="778">
        <f>L266+L265+L261+L251</f>
        <v>326.34</v>
      </c>
    </row>
    <row r="273" spans="1:12" ht="12.75">
      <c r="A273" s="779" t="s">
        <v>51</v>
      </c>
      <c r="B273" s="780"/>
      <c r="C273" s="780"/>
      <c r="D273" s="629"/>
      <c r="E273" s="781">
        <v>0.01</v>
      </c>
      <c r="F273" s="430" t="s">
        <v>52</v>
      </c>
      <c r="G273" s="782">
        <v>20</v>
      </c>
      <c r="H273" s="630">
        <f>E273*G273</f>
        <v>0.2</v>
      </c>
      <c r="I273" s="430"/>
      <c r="J273" s="783"/>
      <c r="K273" s="430"/>
      <c r="L273" s="784">
        <f>L272/1400</f>
        <v>0.23309999999999997</v>
      </c>
    </row>
    <row r="274" spans="1:12" ht="15.75">
      <c r="A274" s="785"/>
      <c r="B274" s="786"/>
      <c r="C274" s="787" t="s">
        <v>53</v>
      </c>
      <c r="D274" s="788"/>
      <c r="E274" s="786"/>
      <c r="F274" s="787"/>
      <c r="G274" s="789"/>
      <c r="H274" s="789">
        <f>H273+H271+H246+H213+H207</f>
        <v>132.784</v>
      </c>
      <c r="I274" s="790"/>
      <c r="J274" s="791"/>
      <c r="K274" s="790"/>
      <c r="L274" s="792"/>
    </row>
    <row r="275" spans="1:12" ht="12.75">
      <c r="A275" s="779"/>
      <c r="B275" s="430"/>
      <c r="C275" s="780"/>
      <c r="D275" s="629"/>
      <c r="E275" s="793"/>
      <c r="F275" s="430" t="s">
        <v>24</v>
      </c>
      <c r="G275" s="782"/>
      <c r="H275" s="782"/>
      <c r="I275" s="430"/>
      <c r="J275" s="783"/>
      <c r="K275" s="430"/>
      <c r="L275" s="794"/>
    </row>
    <row r="276" spans="1:12" ht="12.75">
      <c r="A276" s="779" t="s">
        <v>54</v>
      </c>
      <c r="B276" s="795"/>
      <c r="C276" s="780"/>
      <c r="D276" s="629"/>
      <c r="E276" s="780"/>
      <c r="F276" s="780"/>
      <c r="G276" s="630"/>
      <c r="H276" s="630"/>
      <c r="I276" s="780">
        <f>I272+I247+I211+I208</f>
        <v>52.311</v>
      </c>
      <c r="J276" s="780">
        <f>J272+J247+J211+J208</f>
        <v>45.06099999999999</v>
      </c>
      <c r="K276" s="780">
        <f>K272+K247+K211+K208</f>
        <v>180.382</v>
      </c>
      <c r="L276" s="780">
        <f>L272+L247+L211+L208</f>
        <v>1402.63</v>
      </c>
    </row>
    <row r="277" spans="1:12" ht="12.75">
      <c r="A277" s="618"/>
      <c r="B277" s="618"/>
      <c r="C277" s="618"/>
      <c r="D277" s="796"/>
      <c r="E277" s="618"/>
      <c r="F277" s="618"/>
      <c r="G277" s="618"/>
      <c r="H277" s="618"/>
      <c r="I277" s="618"/>
      <c r="J277" s="618"/>
      <c r="K277" s="618"/>
      <c r="L277" s="797">
        <f>L276/1400</f>
        <v>1.0018785714285714</v>
      </c>
    </row>
    <row r="278" spans="1:12" ht="12.75">
      <c r="A278" s="618"/>
      <c r="B278" s="618"/>
      <c r="C278" s="618"/>
      <c r="D278" s="796"/>
      <c r="E278" s="618"/>
      <c r="F278" s="618"/>
      <c r="G278" s="618"/>
      <c r="H278" s="618"/>
      <c r="I278" s="618"/>
      <c r="J278" s="618"/>
      <c r="K278" s="618"/>
      <c r="L278" s="797"/>
    </row>
    <row r="279" spans="1:12" ht="12.75">
      <c r="A279" s="618"/>
      <c r="B279" s="618"/>
      <c r="C279" s="618"/>
      <c r="D279" s="796"/>
      <c r="E279" s="618"/>
      <c r="F279" s="618"/>
      <c r="G279" s="618"/>
      <c r="H279" s="618"/>
      <c r="I279" s="618"/>
      <c r="J279" s="618"/>
      <c r="K279" s="618"/>
      <c r="L279" s="797"/>
    </row>
    <row r="280" spans="1:12" ht="12.75">
      <c r="A280" s="618"/>
      <c r="B280" s="618"/>
      <c r="C280" s="618"/>
      <c r="D280" s="796"/>
      <c r="E280" s="618"/>
      <c r="F280" s="618"/>
      <c r="G280" s="618"/>
      <c r="H280" s="618"/>
      <c r="I280" s="618"/>
      <c r="J280" s="618"/>
      <c r="K280" s="618"/>
      <c r="L280" s="797"/>
    </row>
    <row r="281" spans="1:12" ht="12.75">
      <c r="A281" s="618"/>
      <c r="B281" s="618"/>
      <c r="C281" s="618"/>
      <c r="D281" s="796"/>
      <c r="E281" s="618"/>
      <c r="F281" s="618"/>
      <c r="G281" s="618"/>
      <c r="H281" s="618"/>
      <c r="I281" s="618"/>
      <c r="J281" s="618"/>
      <c r="K281" s="618"/>
      <c r="L281" s="797"/>
    </row>
    <row r="282" spans="1:12" ht="12.75">
      <c r="A282" s="618"/>
      <c r="B282" s="618"/>
      <c r="C282" s="618"/>
      <c r="D282" s="796"/>
      <c r="E282" s="618"/>
      <c r="F282" s="618"/>
      <c r="G282" s="618"/>
      <c r="H282" s="618"/>
      <c r="I282" s="618"/>
      <c r="J282" s="618"/>
      <c r="K282" s="618"/>
      <c r="L282" s="797"/>
    </row>
    <row r="283" spans="1:12" ht="12.75">
      <c r="A283" s="618"/>
      <c r="B283" s="618"/>
      <c r="C283" s="618"/>
      <c r="D283" s="796"/>
      <c r="E283" s="618"/>
      <c r="F283" s="618"/>
      <c r="G283" s="618"/>
      <c r="H283" s="618"/>
      <c r="I283" s="618"/>
      <c r="J283" s="618"/>
      <c r="K283" s="618"/>
      <c r="L283" s="797"/>
    </row>
    <row r="284" spans="1:12" ht="12.75">
      <c r="A284" s="618"/>
      <c r="B284" s="618"/>
      <c r="C284" s="618"/>
      <c r="D284" s="796"/>
      <c r="E284" s="618"/>
      <c r="F284" s="618"/>
      <c r="G284" s="618"/>
      <c r="H284" s="618"/>
      <c r="I284" s="618"/>
      <c r="J284" s="618"/>
      <c r="K284" s="618"/>
      <c r="L284" s="797"/>
    </row>
    <row r="285" spans="1:12" ht="12.75">
      <c r="A285" s="618"/>
      <c r="B285" s="618"/>
      <c r="C285" s="618"/>
      <c r="D285" s="796"/>
      <c r="E285" s="618"/>
      <c r="F285" s="618"/>
      <c r="G285" s="618"/>
      <c r="H285" s="618"/>
      <c r="I285" s="618"/>
      <c r="J285" s="618"/>
      <c r="K285" s="618"/>
      <c r="L285" s="797"/>
    </row>
    <row r="286" spans="1:12" ht="12.75">
      <c r="A286" s="618"/>
      <c r="B286" s="618"/>
      <c r="C286" s="618"/>
      <c r="D286" s="796"/>
      <c r="E286" s="618"/>
      <c r="F286" s="618"/>
      <c r="G286" s="618"/>
      <c r="H286" s="618"/>
      <c r="I286" s="618"/>
      <c r="J286" s="618"/>
      <c r="K286" s="618"/>
      <c r="L286" s="797"/>
    </row>
    <row r="287" spans="1:12" ht="12.75">
      <c r="A287" s="618"/>
      <c r="B287" s="618"/>
      <c r="C287" s="618"/>
      <c r="D287" s="796"/>
      <c r="E287" s="618"/>
      <c r="F287" s="618"/>
      <c r="G287" s="618"/>
      <c r="H287" s="618"/>
      <c r="I287" s="618"/>
      <c r="J287" s="618"/>
      <c r="K287" s="618"/>
      <c r="L287" s="797"/>
    </row>
    <row r="288" spans="1:12" ht="12.75">
      <c r="A288" s="618"/>
      <c r="B288" s="618"/>
      <c r="C288" s="618"/>
      <c r="D288" s="796"/>
      <c r="E288" s="618"/>
      <c r="F288" s="618"/>
      <c r="G288" s="618"/>
      <c r="H288" s="618"/>
      <c r="I288" s="618"/>
      <c r="J288" s="618"/>
      <c r="K288" s="618"/>
      <c r="L288" s="797"/>
    </row>
    <row r="289" spans="1:12" ht="15">
      <c r="A289" s="798"/>
      <c r="B289" s="798"/>
      <c r="C289" s="798"/>
      <c r="D289" s="619"/>
      <c r="E289" s="798"/>
      <c r="F289" s="798"/>
      <c r="G289" s="799"/>
      <c r="H289" s="799"/>
      <c r="I289" s="800" t="s">
        <v>110</v>
      </c>
      <c r="J289" s="621"/>
      <c r="K289" s="621"/>
      <c r="L289" s="621"/>
    </row>
    <row r="290" spans="1:12" ht="12.75">
      <c r="A290" s="618"/>
      <c r="B290" s="618"/>
      <c r="C290" s="618"/>
      <c r="D290" s="619" t="s">
        <v>231</v>
      </c>
      <c r="E290" s="618"/>
      <c r="F290" s="618"/>
      <c r="G290" s="620"/>
      <c r="H290" s="620"/>
      <c r="I290" s="618"/>
      <c r="J290" s="796"/>
      <c r="K290" s="618"/>
      <c r="L290" s="796"/>
    </row>
    <row r="291" spans="1:12" ht="25.5">
      <c r="A291" s="1787" t="s">
        <v>2</v>
      </c>
      <c r="B291" s="1787"/>
      <c r="C291" s="1787"/>
      <c r="D291" s="622" t="s">
        <v>3</v>
      </c>
      <c r="E291" s="623" t="s">
        <v>4</v>
      </c>
      <c r="F291" s="623" t="s">
        <v>5</v>
      </c>
      <c r="G291" s="624" t="s">
        <v>6</v>
      </c>
      <c r="H291" s="625" t="s">
        <v>7</v>
      </c>
      <c r="I291" s="623" t="s">
        <v>8</v>
      </c>
      <c r="J291" s="623" t="s">
        <v>9</v>
      </c>
      <c r="K291" s="801" t="s">
        <v>10</v>
      </c>
      <c r="L291" s="623" t="s">
        <v>11</v>
      </c>
    </row>
    <row r="292" spans="1:12" ht="12.75">
      <c r="A292" s="1787"/>
      <c r="B292" s="1787"/>
      <c r="C292" s="1787"/>
      <c r="D292" s="628"/>
      <c r="E292" s="629"/>
      <c r="F292" s="629"/>
      <c r="G292" s="630"/>
      <c r="H292" s="630"/>
      <c r="I292" s="629" t="s">
        <v>12</v>
      </c>
      <c r="J292" s="629"/>
      <c r="K292" s="629"/>
      <c r="L292" s="802"/>
    </row>
    <row r="293" spans="1:12" ht="12.75">
      <c r="A293" s="803"/>
      <c r="B293" s="803"/>
      <c r="C293" s="803"/>
      <c r="D293" s="207"/>
      <c r="E293" s="207"/>
      <c r="F293" s="207"/>
      <c r="G293" s="210"/>
      <c r="H293" s="210"/>
      <c r="I293" s="207"/>
      <c r="J293" s="207"/>
      <c r="K293" s="207"/>
      <c r="L293" s="207"/>
    </row>
    <row r="294" spans="1:12" ht="12.75">
      <c r="A294" s="207" t="s">
        <v>57</v>
      </c>
      <c r="B294" s="633">
        <v>0.3333333333333333</v>
      </c>
      <c r="C294" s="634"/>
      <c r="D294" s="207"/>
      <c r="E294" s="634"/>
      <c r="F294" s="634"/>
      <c r="G294" s="210"/>
      <c r="H294" s="210"/>
      <c r="I294" s="207"/>
      <c r="J294" s="207"/>
      <c r="K294" s="634"/>
      <c r="L294" s="207"/>
    </row>
    <row r="295" spans="1:14" ht="12.75">
      <c r="A295" s="1780" t="s">
        <v>249</v>
      </c>
      <c r="B295" s="1780"/>
      <c r="C295" s="1780"/>
      <c r="D295" s="281">
        <v>150</v>
      </c>
      <c r="E295" s="282"/>
      <c r="F295" s="282"/>
      <c r="G295" s="283"/>
      <c r="H295" s="284">
        <f>H296+H297+H298+H299</f>
        <v>12.704999999999998</v>
      </c>
      <c r="I295" s="285">
        <f>I296+I297+I298+I299</f>
        <v>4.86</v>
      </c>
      <c r="J295" s="285">
        <f>J296+J297+J298+J299</f>
        <v>6.300000000000001</v>
      </c>
      <c r="K295" s="285">
        <f>K296+K297+K298+K299</f>
        <v>20.39</v>
      </c>
      <c r="L295" s="285">
        <f>L296+L297+L298+L299</f>
        <v>166.4</v>
      </c>
      <c r="N295" s="206"/>
    </row>
    <row r="296" spans="1:14" ht="12.75">
      <c r="A296" s="56" t="s">
        <v>18</v>
      </c>
      <c r="B296" s="57"/>
      <c r="C296" s="57"/>
      <c r="D296" s="58"/>
      <c r="E296" s="59">
        <v>0.13</v>
      </c>
      <c r="F296" s="60">
        <v>130</v>
      </c>
      <c r="G296" s="61">
        <v>72</v>
      </c>
      <c r="H296" s="62">
        <f>E296*G296</f>
        <v>9.36</v>
      </c>
      <c r="I296" s="916">
        <f>(2.9*F296)/100</f>
        <v>3.77</v>
      </c>
      <c r="J296" s="916">
        <f>(F296*2.5)/100</f>
        <v>3.25</v>
      </c>
      <c r="K296" s="916">
        <f>(4.8*F296)/100</f>
        <v>6.24</v>
      </c>
      <c r="L296" s="917">
        <f>(F296*60)/100</f>
        <v>78</v>
      </c>
      <c r="N296" s="221"/>
    </row>
    <row r="297" spans="1:14" ht="12.75">
      <c r="A297" s="429" t="s">
        <v>16</v>
      </c>
      <c r="B297" s="430"/>
      <c r="C297" s="430"/>
      <c r="D297" s="432"/>
      <c r="E297" s="433">
        <v>0.004</v>
      </c>
      <c r="F297" s="434">
        <v>4</v>
      </c>
      <c r="G297" s="32">
        <v>300</v>
      </c>
      <c r="H297" s="33">
        <f>E297*G297</f>
        <v>1.2</v>
      </c>
      <c r="I297" s="45">
        <f>(F297*1)/100</f>
        <v>0.04</v>
      </c>
      <c r="J297" s="45">
        <f>(F297*72.5)/100</f>
        <v>2.9</v>
      </c>
      <c r="K297" s="45">
        <f>(F297*1.4)/100</f>
        <v>0.055999999999999994</v>
      </c>
      <c r="L297" s="46">
        <f>(F297*662)/100</f>
        <v>26.48</v>
      </c>
      <c r="N297" s="221"/>
    </row>
    <row r="298" spans="1:14" ht="12.75">
      <c r="A298" s="340" t="s">
        <v>250</v>
      </c>
      <c r="B298" s="341"/>
      <c r="C298" s="341"/>
      <c r="D298" s="517"/>
      <c r="E298" s="77">
        <v>0.015</v>
      </c>
      <c r="F298" s="78">
        <v>15</v>
      </c>
      <c r="G298" s="79">
        <v>125</v>
      </c>
      <c r="H298" s="290">
        <f>G298*E298</f>
        <v>1.875</v>
      </c>
      <c r="I298" s="258">
        <f>(F298*7)/100</f>
        <v>1.05</v>
      </c>
      <c r="J298" s="258">
        <f>(F298*1)/100</f>
        <v>0.15</v>
      </c>
      <c r="K298" s="258">
        <f>(74*F298)/100</f>
        <v>11.1</v>
      </c>
      <c r="L298" s="327">
        <f>(F298*333)/100</f>
        <v>49.95</v>
      </c>
      <c r="N298" s="221"/>
    </row>
    <row r="299" spans="1:14" ht="12.75">
      <c r="A299" s="804" t="s">
        <v>17</v>
      </c>
      <c r="B299" s="805"/>
      <c r="C299" s="806"/>
      <c r="D299" s="807"/>
      <c r="E299" s="544">
        <v>0.003</v>
      </c>
      <c r="F299" s="545">
        <v>3</v>
      </c>
      <c r="G299" s="546">
        <v>90</v>
      </c>
      <c r="H299" s="62">
        <f>E299*G299</f>
        <v>0.27</v>
      </c>
      <c r="I299" s="80"/>
      <c r="J299" s="80"/>
      <c r="K299" s="80">
        <f>(F299*99.8)/100</f>
        <v>2.9939999999999998</v>
      </c>
      <c r="L299" s="81">
        <f>(F299*399)/100</f>
        <v>11.97</v>
      </c>
      <c r="N299" s="221"/>
    </row>
    <row r="300" spans="1:12" ht="12.75">
      <c r="A300" s="1773" t="s">
        <v>49</v>
      </c>
      <c r="B300" s="1773"/>
      <c r="C300" s="1773"/>
      <c r="D300" s="65">
        <v>150</v>
      </c>
      <c r="E300" s="66"/>
      <c r="F300" s="21"/>
      <c r="G300" s="22"/>
      <c r="H300" s="23">
        <f>H301+H302</f>
        <v>1.214</v>
      </c>
      <c r="I300" s="67">
        <f>I302</f>
        <v>0</v>
      </c>
      <c r="J300" s="67">
        <f>J302</f>
        <v>0</v>
      </c>
      <c r="K300" s="67">
        <f>K302</f>
        <v>10.978</v>
      </c>
      <c r="L300" s="67">
        <f>L302</f>
        <v>43.89</v>
      </c>
    </row>
    <row r="301" spans="1:12" ht="12.75">
      <c r="A301" s="68" t="s">
        <v>20</v>
      </c>
      <c r="B301" s="69"/>
      <c r="C301" s="70"/>
      <c r="D301" s="71"/>
      <c r="E301" s="72">
        <v>0.0005</v>
      </c>
      <c r="F301" s="73">
        <v>0.5</v>
      </c>
      <c r="G301" s="74">
        <v>448</v>
      </c>
      <c r="H301" s="74">
        <f>E301*G301</f>
        <v>0.224</v>
      </c>
      <c r="I301" s="75"/>
      <c r="J301" s="75"/>
      <c r="K301" s="75"/>
      <c r="L301" s="76"/>
    </row>
    <row r="302" spans="1:12" ht="12.75">
      <c r="A302" s="68" t="s">
        <v>17</v>
      </c>
      <c r="B302" s="69"/>
      <c r="C302" s="70"/>
      <c r="D302" s="71"/>
      <c r="E302" s="77">
        <v>0.011</v>
      </c>
      <c r="F302" s="78">
        <v>11</v>
      </c>
      <c r="G302" s="79">
        <v>90</v>
      </c>
      <c r="H302" s="79">
        <f>G302*E302</f>
        <v>0.99</v>
      </c>
      <c r="I302" s="80"/>
      <c r="J302" s="80"/>
      <c r="K302" s="80">
        <f>(F302*99.8)/100</f>
        <v>10.978</v>
      </c>
      <c r="L302" s="81">
        <f>(F302*399)/100</f>
        <v>43.89</v>
      </c>
    </row>
    <row r="303" spans="1:12" ht="12.75">
      <c r="A303" s="1404"/>
      <c r="B303" s="1405"/>
      <c r="C303" s="1406"/>
      <c r="D303" s="475"/>
      <c r="E303" s="1407"/>
      <c r="F303" s="1408"/>
      <c r="G303" s="1409"/>
      <c r="H303" s="1409"/>
      <c r="I303" s="1410"/>
      <c r="J303" s="1410"/>
      <c r="K303" s="1410"/>
      <c r="L303" s="1411"/>
    </row>
    <row r="304" spans="1:12" ht="12.75" customHeight="1">
      <c r="A304" s="1776" t="s">
        <v>112</v>
      </c>
      <c r="B304" s="1776"/>
      <c r="C304" s="1776"/>
      <c r="D304" s="809" t="s">
        <v>239</v>
      </c>
      <c r="E304" s="330"/>
      <c r="F304" s="331"/>
      <c r="G304" s="105"/>
      <c r="H304" s="106">
        <f>H305+H306</f>
        <v>4.16</v>
      </c>
      <c r="I304" s="108">
        <f>I305+I307+I583</f>
        <v>5.949999999999999</v>
      </c>
      <c r="J304" s="108">
        <f>J305+J307+J583</f>
        <v>3.95</v>
      </c>
      <c r="K304" s="108">
        <f>K305+K307+K583</f>
        <v>17.02</v>
      </c>
      <c r="L304" s="108">
        <f>L305+L307+L583</f>
        <v>137.6</v>
      </c>
    </row>
    <row r="305" spans="1:12" ht="12.75">
      <c r="A305" s="810" t="s">
        <v>42</v>
      </c>
      <c r="B305" s="811"/>
      <c r="C305" s="812"/>
      <c r="D305" s="813"/>
      <c r="E305" s="814">
        <v>0.02</v>
      </c>
      <c r="F305" s="815">
        <v>20</v>
      </c>
      <c r="G305" s="816">
        <v>64</v>
      </c>
      <c r="H305" s="816">
        <f>E305*G305</f>
        <v>1.28</v>
      </c>
      <c r="I305" s="257">
        <f>(F305*8)/100</f>
        <v>1.6</v>
      </c>
      <c r="J305" s="257">
        <f>(F305*1)/100</f>
        <v>0.2</v>
      </c>
      <c r="K305" s="257">
        <f>(F305*49.1)/100</f>
        <v>9.82</v>
      </c>
      <c r="L305" s="817">
        <f>(F305*238)/100</f>
        <v>47.6</v>
      </c>
    </row>
    <row r="306" spans="1:12" ht="12.75">
      <c r="A306" s="457" t="s">
        <v>65</v>
      </c>
      <c r="B306" s="458"/>
      <c r="C306" s="458"/>
      <c r="D306" s="459"/>
      <c r="E306" s="460">
        <v>0.006</v>
      </c>
      <c r="F306" s="461">
        <v>5</v>
      </c>
      <c r="G306" s="461">
        <v>480</v>
      </c>
      <c r="H306" s="461">
        <f>G306*E306</f>
        <v>2.88</v>
      </c>
      <c r="I306" s="461">
        <f>(25.6*F306)/100</f>
        <v>1.28</v>
      </c>
      <c r="J306" s="461">
        <f>(26.1*F306)/100</f>
        <v>1.305</v>
      </c>
      <c r="K306" s="461"/>
      <c r="L306" s="462">
        <f>(F306*343)/100</f>
        <v>17.15</v>
      </c>
    </row>
    <row r="307" spans="1:12" ht="12.75">
      <c r="A307" s="457"/>
      <c r="B307" s="458"/>
      <c r="C307" s="458"/>
      <c r="D307" s="459"/>
      <c r="E307" s="460"/>
      <c r="F307" s="461"/>
      <c r="G307" s="461"/>
      <c r="H307" s="461"/>
      <c r="I307" s="818"/>
      <c r="J307" s="818"/>
      <c r="K307" s="818"/>
      <c r="L307" s="819"/>
    </row>
    <row r="308" spans="1:13" ht="15.75">
      <c r="A308" s="656" t="s">
        <v>23</v>
      </c>
      <c r="B308" s="657"/>
      <c r="C308" s="657"/>
      <c r="D308" s="658"/>
      <c r="E308" s="659"/>
      <c r="F308" s="658"/>
      <c r="G308" s="660"/>
      <c r="H308" s="660">
        <f>H304+H300+H295</f>
        <v>18.079</v>
      </c>
      <c r="I308" s="661"/>
      <c r="J308" s="661"/>
      <c r="K308" s="662"/>
      <c r="L308" s="663"/>
      <c r="M308" s="345"/>
    </row>
    <row r="309" spans="1:13" ht="12.75">
      <c r="A309" s="664"/>
      <c r="B309" s="665" t="s">
        <v>24</v>
      </c>
      <c r="C309" s="666"/>
      <c r="D309" s="667"/>
      <c r="E309" s="668"/>
      <c r="F309" s="667"/>
      <c r="G309" s="669"/>
      <c r="H309" s="669"/>
      <c r="I309" s="670">
        <f>I304+I300+I295</f>
        <v>10.809999999999999</v>
      </c>
      <c r="J309" s="670">
        <f>J304+J300+J295</f>
        <v>10.25</v>
      </c>
      <c r="K309" s="670">
        <f>K304+K300+K295</f>
        <v>48.388</v>
      </c>
      <c r="L309" s="670">
        <f>L304+L300+L295</f>
        <v>347.89</v>
      </c>
      <c r="M309" s="345"/>
    </row>
    <row r="310" spans="1:13" ht="12.75">
      <c r="A310" s="206"/>
      <c r="B310" s="206"/>
      <c r="C310" s="206"/>
      <c r="D310" s="207"/>
      <c r="E310" s="671"/>
      <c r="F310" s="207"/>
      <c r="G310" s="210"/>
      <c r="H310" s="210"/>
      <c r="I310" s="211"/>
      <c r="J310" s="211"/>
      <c r="K310" s="672"/>
      <c r="L310" s="672">
        <f>L309/1400</f>
        <v>0.24849285714285713</v>
      </c>
      <c r="M310" s="345"/>
    </row>
    <row r="311" spans="1:13" ht="12.75" customHeight="1">
      <c r="A311" s="1790" t="s">
        <v>66</v>
      </c>
      <c r="B311" s="1790"/>
      <c r="C311" s="1790"/>
      <c r="D311" s="208"/>
      <c r="E311" s="208"/>
      <c r="F311" s="208"/>
      <c r="G311" s="209"/>
      <c r="H311" s="209"/>
      <c r="I311" s="211"/>
      <c r="J311" s="223"/>
      <c r="K311" s="673"/>
      <c r="L311" s="223"/>
      <c r="M311" s="345"/>
    </row>
    <row r="312" spans="1:13" ht="12.75">
      <c r="A312" s="1774" t="s">
        <v>26</v>
      </c>
      <c r="B312" s="1774"/>
      <c r="C312" s="1774"/>
      <c r="D312" s="135">
        <v>100</v>
      </c>
      <c r="E312" s="136"/>
      <c r="F312" s="136"/>
      <c r="G312" s="137"/>
      <c r="H312" s="138">
        <f>H313</f>
        <v>7</v>
      </c>
      <c r="I312" s="139"/>
      <c r="J312" s="139"/>
      <c r="K312" s="139"/>
      <c r="L312" s="140">
        <f>L313</f>
        <v>46</v>
      </c>
      <c r="M312" s="345"/>
    </row>
    <row r="313" spans="1:13" ht="12.75" customHeight="1">
      <c r="A313" s="1778" t="s">
        <v>26</v>
      </c>
      <c r="B313" s="1778"/>
      <c r="C313" s="1778"/>
      <c r="D313" s="141"/>
      <c r="E313" s="142">
        <v>0.1</v>
      </c>
      <c r="F313" s="143">
        <v>100</v>
      </c>
      <c r="G313" s="144">
        <v>70</v>
      </c>
      <c r="H313" s="145">
        <f>E313*G313</f>
        <v>7</v>
      </c>
      <c r="I313" s="143"/>
      <c r="J313" s="143"/>
      <c r="K313" s="143">
        <f>(10.1*F313)/100</f>
        <v>10.1</v>
      </c>
      <c r="L313" s="146">
        <f>(F313*46)/100</f>
        <v>46</v>
      </c>
      <c r="M313" s="345"/>
    </row>
    <row r="314" spans="1:13" ht="12.75">
      <c r="A314" s="682"/>
      <c r="B314" s="683" t="s">
        <v>24</v>
      </c>
      <c r="C314" s="683"/>
      <c r="D314" s="667"/>
      <c r="E314" s="667"/>
      <c r="F314" s="667"/>
      <c r="G314" s="669"/>
      <c r="H314" s="669"/>
      <c r="I314" s="685"/>
      <c r="J314" s="685"/>
      <c r="K314" s="685"/>
      <c r="L314" s="820">
        <f>L312/1400</f>
        <v>0.032857142857142856</v>
      </c>
      <c r="M314" s="345"/>
    </row>
    <row r="315" spans="1:13" ht="12.75">
      <c r="A315" s="821" t="s">
        <v>67</v>
      </c>
      <c r="B315" s="822">
        <v>0.5</v>
      </c>
      <c r="C315" s="823"/>
      <c r="D315" s="824"/>
      <c r="E315" s="824"/>
      <c r="F315" s="824"/>
      <c r="G315" s="825"/>
      <c r="H315" s="825"/>
      <c r="I315" s="826"/>
      <c r="J315" s="826"/>
      <c r="K315" s="827"/>
      <c r="L315" s="828"/>
      <c r="M315" s="345"/>
    </row>
    <row r="316" spans="1:13" ht="25.5" customHeight="1">
      <c r="A316" s="1791" t="s">
        <v>251</v>
      </c>
      <c r="B316" s="1791"/>
      <c r="C316" s="1791"/>
      <c r="D316" s="829" t="s">
        <v>244</v>
      </c>
      <c r="E316" s="693"/>
      <c r="F316" s="104"/>
      <c r="G316" s="105"/>
      <c r="H316" s="106">
        <f>SUM(H317:H323)</f>
        <v>10.878000000000002</v>
      </c>
      <c r="I316" s="577">
        <f>SUM(I317:I323)</f>
        <v>2.358</v>
      </c>
      <c r="J316" s="577">
        <f>SUM(J317:J323)</f>
        <v>3.4309999999999996</v>
      </c>
      <c r="K316" s="577">
        <f>SUM(K317:K323)</f>
        <v>10.837</v>
      </c>
      <c r="L316" s="577">
        <f>SUM(L317:L323)</f>
        <v>84.5</v>
      </c>
      <c r="M316" s="345"/>
    </row>
    <row r="317" spans="1:13" ht="12.75">
      <c r="A317" s="340" t="s">
        <v>174</v>
      </c>
      <c r="B317" s="493"/>
      <c r="C317" s="493"/>
      <c r="D317" s="515"/>
      <c r="E317" s="835"/>
      <c r="F317" s="85"/>
      <c r="G317" s="192"/>
      <c r="H317" s="193"/>
      <c r="I317" s="495"/>
      <c r="J317" s="495"/>
      <c r="K317" s="495"/>
      <c r="L317" s="496"/>
      <c r="M317" s="345"/>
    </row>
    <row r="318" spans="1:13" ht="12.75">
      <c r="A318" s="340" t="s">
        <v>16</v>
      </c>
      <c r="B318" s="493"/>
      <c r="C318" s="493"/>
      <c r="D318" s="832"/>
      <c r="E318" s="498">
        <v>0.003</v>
      </c>
      <c r="F318" s="435">
        <v>3</v>
      </c>
      <c r="G318" s="32">
        <v>300</v>
      </c>
      <c r="H318" s="33">
        <f>E318*G318</f>
        <v>0.9</v>
      </c>
      <c r="I318" s="45">
        <f>(F318*1)/100</f>
        <v>0.03</v>
      </c>
      <c r="J318" s="45">
        <f>(F318*72.5)/100</f>
        <v>2.175</v>
      </c>
      <c r="K318" s="45">
        <f>(F318*1.4)/100</f>
        <v>0.041999999999999996</v>
      </c>
      <c r="L318" s="46">
        <f>(F318*662)/100</f>
        <v>19.86</v>
      </c>
      <c r="M318" s="345"/>
    </row>
    <row r="319" spans="1:13" ht="12.75">
      <c r="A319" s="508" t="s">
        <v>72</v>
      </c>
      <c r="B319" s="509"/>
      <c r="C319" s="509"/>
      <c r="D319" s="833"/>
      <c r="E319" s="510">
        <v>0.005</v>
      </c>
      <c r="F319" s="511">
        <v>5</v>
      </c>
      <c r="G319" s="501">
        <v>156</v>
      </c>
      <c r="H319" s="501">
        <f>E319*G319</f>
        <v>0.78</v>
      </c>
      <c r="I319" s="834">
        <f>(2.5*F319)/100</f>
        <v>0.125</v>
      </c>
      <c r="J319" s="834">
        <f>(20*F319)/100</f>
        <v>1</v>
      </c>
      <c r="K319" s="834">
        <f>(3.4*F319)/100</f>
        <v>0.17</v>
      </c>
      <c r="L319" s="220">
        <f>(206*F319)/100</f>
        <v>10.3</v>
      </c>
      <c r="M319" s="345"/>
    </row>
    <row r="320" spans="1:13" ht="12.75">
      <c r="A320" s="340" t="s">
        <v>32</v>
      </c>
      <c r="B320" s="493"/>
      <c r="C320" s="493"/>
      <c r="D320" s="832"/>
      <c r="E320" s="835">
        <v>0.07</v>
      </c>
      <c r="F320" s="85">
        <v>42</v>
      </c>
      <c r="G320" s="535">
        <v>56</v>
      </c>
      <c r="H320" s="501">
        <f>E320*G320</f>
        <v>3.9200000000000004</v>
      </c>
      <c r="I320" s="213">
        <f>(F320*2)/100</f>
        <v>0.84</v>
      </c>
      <c r="J320" s="213">
        <f>(F320*0.4)/100</f>
        <v>0.168</v>
      </c>
      <c r="K320" s="213">
        <f>(F320*16.3)/100</f>
        <v>6.846</v>
      </c>
      <c r="L320" s="216">
        <f>(F320*77)/100</f>
        <v>32.34</v>
      </c>
      <c r="M320" s="345"/>
    </row>
    <row r="321" spans="1:13" ht="12.75">
      <c r="A321" s="340" t="s">
        <v>38</v>
      </c>
      <c r="B321" s="493"/>
      <c r="C321" s="493"/>
      <c r="D321" s="832"/>
      <c r="E321" s="498">
        <v>0.068</v>
      </c>
      <c r="F321" s="435">
        <v>54</v>
      </c>
      <c r="G321" s="32">
        <v>56</v>
      </c>
      <c r="H321" s="33">
        <f>E321*G321</f>
        <v>3.8080000000000003</v>
      </c>
      <c r="I321" s="85">
        <f>(1.8*F321)/100</f>
        <v>0.972</v>
      </c>
      <c r="J321" s="85">
        <f>(F321*0.1)/100</f>
        <v>0.054000000000000006</v>
      </c>
      <c r="K321" s="85">
        <f>(F321*4.7)/100</f>
        <v>2.5380000000000003</v>
      </c>
      <c r="L321" s="86">
        <f>(F321*28)/100</f>
        <v>15.12</v>
      </c>
      <c r="M321" s="345"/>
    </row>
    <row r="322" spans="1:13" ht="12.75">
      <c r="A322" s="340" t="s">
        <v>33</v>
      </c>
      <c r="B322" s="341"/>
      <c r="C322" s="341"/>
      <c r="D322" s="520"/>
      <c r="E322" s="212">
        <v>0.01</v>
      </c>
      <c r="F322" s="213">
        <v>8</v>
      </c>
      <c r="G322" s="214">
        <v>63</v>
      </c>
      <c r="H322" s="215">
        <f>E322*G322</f>
        <v>0.63</v>
      </c>
      <c r="I322" s="213">
        <f>(F322*1.4)/100</f>
        <v>0.11199999999999999</v>
      </c>
      <c r="J322" s="213">
        <f>(F322*0.2)/100</f>
        <v>0.016</v>
      </c>
      <c r="K322" s="213">
        <f>(F322*8.2)/100</f>
        <v>0.6559999999999999</v>
      </c>
      <c r="L322" s="216">
        <f>(F322*41)/100</f>
        <v>3.28</v>
      </c>
      <c r="M322" s="345"/>
    </row>
    <row r="323" spans="1:14" ht="12.75" customHeight="1">
      <c r="A323" s="340" t="s">
        <v>34</v>
      </c>
      <c r="B323" s="341"/>
      <c r="C323" s="341"/>
      <c r="D323" s="836"/>
      <c r="E323" s="212">
        <v>0.012</v>
      </c>
      <c r="F323" s="213">
        <v>9</v>
      </c>
      <c r="G323" s="342">
        <v>70</v>
      </c>
      <c r="H323" s="112">
        <f>G323*E323</f>
        <v>0.84</v>
      </c>
      <c r="I323" s="258">
        <f>(3.1*F323)/100</f>
        <v>0.279</v>
      </c>
      <c r="J323" s="258">
        <f>(0.2*F323)/100</f>
        <v>0.018000000000000002</v>
      </c>
      <c r="K323" s="258">
        <f>(6.5*F323)/100</f>
        <v>0.585</v>
      </c>
      <c r="L323" s="327">
        <f>(40*F323)/100</f>
        <v>3.6</v>
      </c>
      <c r="M323" s="345"/>
      <c r="N323" s="206"/>
    </row>
    <row r="324" spans="1:14" ht="12.75" customHeight="1">
      <c r="A324" s="1774" t="s">
        <v>115</v>
      </c>
      <c r="B324" s="1774"/>
      <c r="C324" s="1774"/>
      <c r="D324" s="839">
        <v>180</v>
      </c>
      <c r="E324" s="236"/>
      <c r="F324" s="236"/>
      <c r="G324" s="137"/>
      <c r="H324" s="138">
        <f>H325+H326+H327+H328+H329+H331+H330</f>
        <v>28.926999999999992</v>
      </c>
      <c r="I324" s="1419">
        <f>I325+I326+I327+I328+I329+I331</f>
        <v>16.055</v>
      </c>
      <c r="J324" s="1419">
        <f>J325+J326+J327+J328+J329+J331</f>
        <v>18.242</v>
      </c>
      <c r="K324" s="1419">
        <f>K325+K326+K327+K328+K329+K331</f>
        <v>27.811</v>
      </c>
      <c r="L324" s="1419">
        <f>L325+L326+L327+L328+L329+L331</f>
        <v>285.84</v>
      </c>
      <c r="N324" s="221"/>
    </row>
    <row r="325" spans="1:14" ht="12.75">
      <c r="A325" s="557" t="s">
        <v>75</v>
      </c>
      <c r="B325" s="1420"/>
      <c r="C325" s="1420"/>
      <c r="D325" s="1421"/>
      <c r="E325" s="190">
        <v>0.09</v>
      </c>
      <c r="F325" s="191">
        <v>65</v>
      </c>
      <c r="G325" s="192">
        <v>240</v>
      </c>
      <c r="H325" s="193">
        <f>G325*E325</f>
        <v>21.599999999999998</v>
      </c>
      <c r="I325" s="495">
        <f>(F325*18.2)/100</f>
        <v>11.83</v>
      </c>
      <c r="J325" s="495">
        <f>(F325*18.4)/100</f>
        <v>11.96</v>
      </c>
      <c r="K325" s="495"/>
      <c r="L325" s="496">
        <f>(F325*238)/100</f>
        <v>154.7</v>
      </c>
      <c r="N325" s="221"/>
    </row>
    <row r="326" spans="1:14" ht="12.75">
      <c r="A326" s="47" t="s">
        <v>37</v>
      </c>
      <c r="B326" s="48"/>
      <c r="C326" s="48"/>
      <c r="D326" s="840"/>
      <c r="E326" s="1422">
        <v>0.003</v>
      </c>
      <c r="F326" s="1423">
        <v>3</v>
      </c>
      <c r="G326" s="730">
        <v>129</v>
      </c>
      <c r="H326" s="730">
        <f>G326*E326</f>
        <v>0.387</v>
      </c>
      <c r="I326" s="257"/>
      <c r="J326" s="258">
        <f>(F326*99.9)/100</f>
        <v>2.9970000000000003</v>
      </c>
      <c r="K326" s="54"/>
      <c r="L326" s="220">
        <f>(F326*35)/100</f>
        <v>1.05</v>
      </c>
      <c r="N326" s="221"/>
    </row>
    <row r="327" spans="1:14" ht="12.75">
      <c r="A327" s="47" t="s">
        <v>33</v>
      </c>
      <c r="B327" s="48"/>
      <c r="C327" s="48"/>
      <c r="D327" s="840"/>
      <c r="E327" s="1422">
        <v>0.013000000000000001</v>
      </c>
      <c r="F327" s="1423">
        <v>10</v>
      </c>
      <c r="G327" s="730">
        <v>63</v>
      </c>
      <c r="H327" s="730">
        <f>G327*E327</f>
        <v>0.8190000000000001</v>
      </c>
      <c r="I327" s="204">
        <f>(F327*1.4)/100</f>
        <v>0.14</v>
      </c>
      <c r="J327" s="204">
        <f>(F327*0.2)/100</f>
        <v>0.02</v>
      </c>
      <c r="K327" s="204">
        <f>(F327*8.2)/100</f>
        <v>0.82</v>
      </c>
      <c r="L327" s="216">
        <f>(F327*77)/100</f>
        <v>7.7</v>
      </c>
      <c r="N327" s="221"/>
    </row>
    <row r="328" spans="1:14" ht="12.75">
      <c r="A328" s="47" t="s">
        <v>34</v>
      </c>
      <c r="B328" s="48"/>
      <c r="C328" s="48"/>
      <c r="D328" s="840"/>
      <c r="E328" s="1422">
        <v>0.02</v>
      </c>
      <c r="F328" s="1423">
        <v>15</v>
      </c>
      <c r="G328" s="730">
        <v>70</v>
      </c>
      <c r="H328" s="730">
        <f>G328*E328</f>
        <v>1.4000000000000001</v>
      </c>
      <c r="I328" s="204">
        <f>(F328*1.3)/100</f>
        <v>0.195</v>
      </c>
      <c r="J328" s="204">
        <f>(F328*0.1)/100</f>
        <v>0.015</v>
      </c>
      <c r="K328" s="204">
        <f>(F328*6.9)/100</f>
        <v>1.035</v>
      </c>
      <c r="L328" s="216">
        <f>(F328*28)/100</f>
        <v>4.2</v>
      </c>
      <c r="N328" s="221"/>
    </row>
    <row r="329" spans="1:14" ht="12.75">
      <c r="A329" s="47" t="s">
        <v>92</v>
      </c>
      <c r="B329" s="48"/>
      <c r="C329" s="48"/>
      <c r="D329" s="840"/>
      <c r="E329" s="1424">
        <v>0.035</v>
      </c>
      <c r="F329" s="1425">
        <v>35</v>
      </c>
      <c r="G329" s="729">
        <v>93</v>
      </c>
      <c r="H329" s="729">
        <f>G329*E329</f>
        <v>3.2550000000000003</v>
      </c>
      <c r="I329" s="213">
        <f>(11*F329)/100</f>
        <v>3.85</v>
      </c>
      <c r="J329" s="455">
        <f>(F329*1)/100</f>
        <v>0.35</v>
      </c>
      <c r="K329" s="455">
        <f>(74*F329)/100</f>
        <v>25.9</v>
      </c>
      <c r="L329" s="456">
        <f>(F329*333)/100</f>
        <v>116.55</v>
      </c>
      <c r="N329" s="221"/>
    </row>
    <row r="330" spans="1:14" ht="12.75">
      <c r="A330" s="340" t="s">
        <v>78</v>
      </c>
      <c r="B330" s="341"/>
      <c r="C330" s="341"/>
      <c r="D330" s="725"/>
      <c r="E330" s="562">
        <v>0.002</v>
      </c>
      <c r="F330" s="564">
        <v>2</v>
      </c>
      <c r="G330" s="505">
        <v>133</v>
      </c>
      <c r="H330" s="214">
        <f>E330*G330</f>
        <v>0.266</v>
      </c>
      <c r="I330" s="258">
        <f>(12.7*F330)/100</f>
        <v>0.254</v>
      </c>
      <c r="J330" s="258">
        <f>(F330*11.5)/100</f>
        <v>0.23</v>
      </c>
      <c r="K330" s="258">
        <f>(F330*0.7)/100</f>
        <v>0.014000000000000002</v>
      </c>
      <c r="L330" s="327">
        <f>(157*F330)/100</f>
        <v>3.14</v>
      </c>
      <c r="N330" s="221"/>
    </row>
    <row r="331" spans="1:14" ht="12.75">
      <c r="A331" s="1404" t="s">
        <v>16</v>
      </c>
      <c r="B331" s="1405"/>
      <c r="C331" s="1405"/>
      <c r="D331" s="1426"/>
      <c r="E331" s="1427">
        <v>0.004</v>
      </c>
      <c r="F331" s="1428">
        <v>4</v>
      </c>
      <c r="G331" s="1429">
        <v>300</v>
      </c>
      <c r="H331" s="1429">
        <f>G331*E331</f>
        <v>1.2</v>
      </c>
      <c r="I331" s="1430">
        <f>(F331*1)/100</f>
        <v>0.04</v>
      </c>
      <c r="J331" s="1430">
        <f>(F331*72.5)/100</f>
        <v>2.9</v>
      </c>
      <c r="K331" s="1430">
        <f>(F331*1.4)/100</f>
        <v>0.055999999999999994</v>
      </c>
      <c r="L331" s="1431">
        <f>(F331*41)/100</f>
        <v>1.64</v>
      </c>
      <c r="N331" s="221"/>
    </row>
    <row r="332" spans="1:14" ht="12.75" customHeight="1">
      <c r="A332" s="1780" t="s">
        <v>116</v>
      </c>
      <c r="B332" s="1780"/>
      <c r="C332" s="1780"/>
      <c r="D332" s="281">
        <v>45</v>
      </c>
      <c r="E332" s="282"/>
      <c r="F332" s="282"/>
      <c r="G332" s="283"/>
      <c r="H332" s="284">
        <f>H335+H334+H333</f>
        <v>3.7580000000000005</v>
      </c>
      <c r="I332" s="285">
        <f>I333+I334+I334</f>
        <v>0.182</v>
      </c>
      <c r="J332" s="285">
        <f>J333+J334+J334</f>
        <v>2.0120000000000005</v>
      </c>
      <c r="K332" s="285">
        <f>K333+K334+K334</f>
        <v>0.9660000000000001</v>
      </c>
      <c r="L332" s="285">
        <f>L333+L334+L334</f>
        <v>22.88</v>
      </c>
      <c r="N332" s="221"/>
    </row>
    <row r="333" spans="1:14" ht="12.75" customHeight="1">
      <c r="A333" s="47" t="s">
        <v>37</v>
      </c>
      <c r="B333" s="48"/>
      <c r="C333" s="48"/>
      <c r="D333" s="840"/>
      <c r="E333" s="51">
        <v>0.002</v>
      </c>
      <c r="F333" s="52">
        <v>2</v>
      </c>
      <c r="G333" s="53">
        <v>129</v>
      </c>
      <c r="H333" s="144">
        <f>G333*E333</f>
        <v>0.258</v>
      </c>
      <c r="I333" s="257"/>
      <c r="J333" s="258">
        <f>(F333*99.9)/100</f>
        <v>1.9980000000000002</v>
      </c>
      <c r="K333" s="54"/>
      <c r="L333" s="259">
        <f>(F333*899)/100</f>
        <v>17.98</v>
      </c>
      <c r="N333" s="221"/>
    </row>
    <row r="334" spans="1:14" ht="12.75" customHeight="1">
      <c r="A334" s="47" t="s">
        <v>34</v>
      </c>
      <c r="B334" s="48"/>
      <c r="C334" s="48"/>
      <c r="D334" s="840"/>
      <c r="E334" s="51">
        <v>0.01</v>
      </c>
      <c r="F334" s="52">
        <v>7</v>
      </c>
      <c r="G334" s="53">
        <v>70</v>
      </c>
      <c r="H334" s="144">
        <f>G334*E334</f>
        <v>0.7000000000000001</v>
      </c>
      <c r="I334" s="204">
        <f>(F334*1.3)/100</f>
        <v>0.091</v>
      </c>
      <c r="J334" s="204">
        <f>(F334*0.1)/100</f>
        <v>0.007000000000000001</v>
      </c>
      <c r="K334" s="204">
        <f>(F334*6.9)/100</f>
        <v>0.48300000000000004</v>
      </c>
      <c r="L334" s="512">
        <f>(F334*35)/100</f>
        <v>2.45</v>
      </c>
      <c r="N334" s="221"/>
    </row>
    <row r="335" spans="1:14" ht="12.75" customHeight="1">
      <c r="A335" s="340" t="s">
        <v>117</v>
      </c>
      <c r="B335" s="493"/>
      <c r="C335" s="493"/>
      <c r="D335" s="832"/>
      <c r="E335" s="498">
        <v>0.05</v>
      </c>
      <c r="F335" s="435">
        <v>40</v>
      </c>
      <c r="G335" s="32">
        <v>56</v>
      </c>
      <c r="H335" s="33">
        <f>E335*G335</f>
        <v>2.8000000000000003</v>
      </c>
      <c r="I335" s="85">
        <f>(1.8*F335)/100</f>
        <v>0.72</v>
      </c>
      <c r="J335" s="85">
        <f>(F335*0.1)/100</f>
        <v>0.04</v>
      </c>
      <c r="K335" s="85">
        <f>(F335*4.7)/100</f>
        <v>1.88</v>
      </c>
      <c r="L335" s="86">
        <f>(F335*28)/100</f>
        <v>11.2</v>
      </c>
      <c r="N335" s="221"/>
    </row>
    <row r="336" spans="1:14" ht="12.75">
      <c r="A336" s="1796" t="s">
        <v>118</v>
      </c>
      <c r="B336" s="1796"/>
      <c r="C336" s="1796"/>
      <c r="D336" s="20">
        <v>150</v>
      </c>
      <c r="E336" s="846"/>
      <c r="F336" s="846"/>
      <c r="G336" s="23"/>
      <c r="H336" s="23">
        <f>H337+H339+H338</f>
        <v>5.180000000000001</v>
      </c>
      <c r="I336" s="847">
        <f>I337+I339</f>
        <v>0.065</v>
      </c>
      <c r="J336" s="847">
        <f>J337+J339</f>
        <v>0.026000000000000002</v>
      </c>
      <c r="K336" s="847">
        <f>K337+K339</f>
        <v>13.454999999999998</v>
      </c>
      <c r="L336" s="344">
        <f>L337+L338</f>
        <v>23.41</v>
      </c>
      <c r="N336" s="221"/>
    </row>
    <row r="337" spans="1:14" ht="12.75" customHeight="1">
      <c r="A337" s="196" t="s">
        <v>119</v>
      </c>
      <c r="B337" s="848"/>
      <c r="C337" s="849"/>
      <c r="D337" s="850"/>
      <c r="E337" s="851">
        <v>0.013000000000000001</v>
      </c>
      <c r="F337" s="852">
        <v>13</v>
      </c>
      <c r="G337" s="200">
        <v>260</v>
      </c>
      <c r="H337" s="200">
        <f>G337*E337</f>
        <v>3.3800000000000003</v>
      </c>
      <c r="I337" s="85">
        <f>(F337*0.5)/100</f>
        <v>0.065</v>
      </c>
      <c r="J337" s="85">
        <f>(F337*0.2)/100</f>
        <v>0.026000000000000002</v>
      </c>
      <c r="K337" s="85">
        <f>(F337*3.7)/100</f>
        <v>0.48100000000000004</v>
      </c>
      <c r="L337" s="456">
        <f>(157*F337)/100</f>
        <v>20.41</v>
      </c>
      <c r="N337" s="206"/>
    </row>
    <row r="338" spans="1:14" ht="12.75">
      <c r="A338" s="196" t="s">
        <v>120</v>
      </c>
      <c r="B338" s="848"/>
      <c r="C338" s="849"/>
      <c r="D338" s="850"/>
      <c r="E338" s="851">
        <v>0.005</v>
      </c>
      <c r="F338" s="852">
        <v>5</v>
      </c>
      <c r="G338" s="200">
        <v>126</v>
      </c>
      <c r="H338" s="200">
        <f>G338*E338</f>
        <v>0.63</v>
      </c>
      <c r="I338" s="85"/>
      <c r="J338" s="85"/>
      <c r="K338" s="85"/>
      <c r="L338" s="64">
        <f>(F338*60)/100</f>
        <v>3</v>
      </c>
      <c r="N338" s="206"/>
    </row>
    <row r="339" spans="1:14" ht="12.75">
      <c r="A339" s="37" t="s">
        <v>17</v>
      </c>
      <c r="B339" s="38"/>
      <c r="C339" s="292"/>
      <c r="D339" s="293"/>
      <c r="E339" s="41">
        <v>0.013000000000000001</v>
      </c>
      <c r="F339" s="42">
        <v>13</v>
      </c>
      <c r="G339" s="43">
        <v>90</v>
      </c>
      <c r="H339" s="43">
        <f>E339*G339</f>
        <v>1.1700000000000002</v>
      </c>
      <c r="I339" s="80"/>
      <c r="J339" s="80"/>
      <c r="K339" s="80">
        <f>(F339*99.8)/100</f>
        <v>12.973999999999998</v>
      </c>
      <c r="L339" s="216"/>
      <c r="N339" s="206"/>
    </row>
    <row r="340" spans="1:12" ht="12.75">
      <c r="A340" s="1776" t="s">
        <v>41</v>
      </c>
      <c r="B340" s="1776"/>
      <c r="C340" s="1776"/>
      <c r="D340" s="927">
        <v>30</v>
      </c>
      <c r="E340" s="66">
        <v>0.03</v>
      </c>
      <c r="F340" s="21">
        <v>30</v>
      </c>
      <c r="G340" s="22">
        <v>35</v>
      </c>
      <c r="H340" s="23">
        <f>E340*G340</f>
        <v>1.05</v>
      </c>
      <c r="I340" s="294">
        <f>(6.6*F340)/100</f>
        <v>1.98</v>
      </c>
      <c r="J340" s="294">
        <f>(1.2*F340)/100</f>
        <v>0.36</v>
      </c>
      <c r="K340" s="294">
        <f>(33.4*F340)/100</f>
        <v>10.02</v>
      </c>
      <c r="L340" s="67">
        <f>(174*F340)/100</f>
        <v>52.2</v>
      </c>
    </row>
    <row r="341" spans="1:12" ht="12.75">
      <c r="A341" s="1432" t="s">
        <v>42</v>
      </c>
      <c r="B341" s="1433"/>
      <c r="C341" s="1433"/>
      <c r="D341" s="1434">
        <v>20</v>
      </c>
      <c r="E341" s="562">
        <v>0.02</v>
      </c>
      <c r="F341" s="564">
        <v>20</v>
      </c>
      <c r="G341" s="726">
        <v>64</v>
      </c>
      <c r="H341" s="1435">
        <f>E341*G341</f>
        <v>1.28</v>
      </c>
      <c r="I341" s="455">
        <f>(F341*8)/100</f>
        <v>1.6</v>
      </c>
      <c r="J341" s="455">
        <f>(F341*1)/100</f>
        <v>0.2</v>
      </c>
      <c r="K341" s="455">
        <f>(F341*49.1)/100</f>
        <v>9.82</v>
      </c>
      <c r="L341" s="456">
        <f>(F341*238)/100</f>
        <v>47.6</v>
      </c>
    </row>
    <row r="342" spans="1:12" ht="12.75">
      <c r="A342" s="56"/>
      <c r="B342" s="221"/>
      <c r="C342" s="221"/>
      <c r="D342" s="247"/>
      <c r="E342" s="57"/>
      <c r="F342" s="57"/>
      <c r="G342" s="209"/>
      <c r="H342" s="209"/>
      <c r="I342" s="223"/>
      <c r="J342" s="223"/>
      <c r="K342" s="223"/>
      <c r="L342" s="732"/>
    </row>
    <row r="343" spans="1:12" ht="15.75">
      <c r="A343" s="733"/>
      <c r="B343" s="675"/>
      <c r="C343" s="734" t="s">
        <v>43</v>
      </c>
      <c r="D343" s="735"/>
      <c r="E343" s="734"/>
      <c r="F343" s="734"/>
      <c r="G343" s="679"/>
      <c r="H343" s="679">
        <f>H341+H340+H336+H332+H324+H316</f>
        <v>51.07299999999999</v>
      </c>
      <c r="I343" s="736"/>
      <c r="J343" s="680"/>
      <c r="K343" s="680"/>
      <c r="L343" s="854">
        <f>L344/1400</f>
        <v>0.3688785714285714</v>
      </c>
    </row>
    <row r="344" spans="1:12" ht="12.75">
      <c r="A344" s="855"/>
      <c r="B344" s="740" t="s">
        <v>24</v>
      </c>
      <c r="C344" s="740"/>
      <c r="D344" s="741"/>
      <c r="E344" s="740"/>
      <c r="F344" s="740"/>
      <c r="G344" s="742"/>
      <c r="H344" s="742"/>
      <c r="I344" s="856">
        <f>(I341+I340+I336+I332+I324+I316)</f>
        <v>22.24</v>
      </c>
      <c r="J344" s="856">
        <f>(J341+J340+J336+J332+J324+J316)</f>
        <v>24.271000000000004</v>
      </c>
      <c r="K344" s="856">
        <f>(K341+K340+K336+K332+K324+K316)</f>
        <v>72.909</v>
      </c>
      <c r="L344" s="856">
        <f>(L341+L340+L336+L332+L324+L316)</f>
        <v>516.43</v>
      </c>
    </row>
    <row r="345" spans="1:12" ht="12.75">
      <c r="A345" s="857"/>
      <c r="B345" s="313"/>
      <c r="C345" s="313"/>
      <c r="D345" s="314"/>
      <c r="E345" s="313"/>
      <c r="F345" s="313"/>
      <c r="G345" s="316"/>
      <c r="H345" s="316"/>
      <c r="I345" s="858"/>
      <c r="J345" s="858"/>
      <c r="K345" s="858"/>
      <c r="L345" s="316"/>
    </row>
    <row r="346" spans="1:12" ht="12.75">
      <c r="A346" s="211" t="s">
        <v>44</v>
      </c>
      <c r="B346" s="57"/>
      <c r="C346" s="634" t="s">
        <v>105</v>
      </c>
      <c r="D346" s="208"/>
      <c r="E346" s="57"/>
      <c r="F346" s="57"/>
      <c r="G346" s="57"/>
      <c r="H346" s="57"/>
      <c r="I346" s="211"/>
      <c r="J346" s="211"/>
      <c r="K346" s="209"/>
      <c r="L346" s="223"/>
    </row>
    <row r="347" spans="1:12" ht="12.75">
      <c r="A347" s="1780" t="s">
        <v>121</v>
      </c>
      <c r="B347" s="1780"/>
      <c r="C347" s="1780"/>
      <c r="D347" s="556">
        <v>90</v>
      </c>
      <c r="E347" s="282"/>
      <c r="F347" s="282"/>
      <c r="G347" s="283"/>
      <c r="H347" s="284">
        <f>SUM(H348:H355)</f>
        <v>17.207</v>
      </c>
      <c r="I347" s="285">
        <f>SUM(I348:I354)</f>
        <v>12.733</v>
      </c>
      <c r="J347" s="285">
        <f>SUM(J348:J354)</f>
        <v>11.702</v>
      </c>
      <c r="K347" s="285">
        <f>SUM(K348:K354)</f>
        <v>13.286999999999999</v>
      </c>
      <c r="L347" s="285">
        <f>SUM(L348:L354)</f>
        <v>210.5</v>
      </c>
    </row>
    <row r="348" spans="1:12" ht="12.75">
      <c r="A348" s="557" t="s">
        <v>18</v>
      </c>
      <c r="B348" s="558"/>
      <c r="C348" s="558"/>
      <c r="D348" s="559"/>
      <c r="E348" s="454">
        <v>0.02</v>
      </c>
      <c r="F348" s="73">
        <v>20</v>
      </c>
      <c r="G348" s="78">
        <v>72</v>
      </c>
      <c r="H348" s="78">
        <f>G348*E348</f>
        <v>1.44</v>
      </c>
      <c r="I348" s="63">
        <f>(2.9*F348)/100</f>
        <v>0.58</v>
      </c>
      <c r="J348" s="63">
        <f>(F348*2.5)/100</f>
        <v>0.5</v>
      </c>
      <c r="K348" s="63">
        <f>(4.8*F348)/100</f>
        <v>0.96</v>
      </c>
      <c r="L348" s="64">
        <f>(F348*60)/100</f>
        <v>12</v>
      </c>
    </row>
    <row r="349" spans="1:12" ht="12.75">
      <c r="A349" s="340" t="s">
        <v>37</v>
      </c>
      <c r="B349" s="341"/>
      <c r="C349" s="341"/>
      <c r="D349" s="517"/>
      <c r="E349" s="448">
        <v>0.003</v>
      </c>
      <c r="F349" s="560">
        <v>3</v>
      </c>
      <c r="G349" s="447">
        <v>129</v>
      </c>
      <c r="H349" s="200">
        <f>E349*G349</f>
        <v>0.387</v>
      </c>
      <c r="I349" s="521"/>
      <c r="J349" s="455">
        <f>(F349*99.9)/100</f>
        <v>2.9970000000000003</v>
      </c>
      <c r="K349" s="80"/>
      <c r="L349" s="522">
        <f>(F349*899)/100</f>
        <v>26.97</v>
      </c>
    </row>
    <row r="350" spans="1:12" ht="12.75">
      <c r="A350" s="340" t="s">
        <v>16</v>
      </c>
      <c r="B350" s="341"/>
      <c r="C350" s="341"/>
      <c r="D350" s="517"/>
      <c r="E350" s="562">
        <v>0.002</v>
      </c>
      <c r="F350" s="505">
        <v>2</v>
      </c>
      <c r="G350" s="214">
        <v>257</v>
      </c>
      <c r="H350" s="78">
        <f>G350*E350</f>
        <v>0.514</v>
      </c>
      <c r="I350" s="518">
        <f>(F350*1)/100</f>
        <v>0.02</v>
      </c>
      <c r="J350" s="518">
        <f>(F350*72.5)/100</f>
        <v>1.45</v>
      </c>
      <c r="K350" s="518">
        <f>(F350*1.4)/100</f>
        <v>0.027999999999999997</v>
      </c>
      <c r="L350" s="519">
        <f>(F350*662)/100</f>
        <v>13.24</v>
      </c>
    </row>
    <row r="351" spans="1:12" ht="12.75">
      <c r="A351" s="340" t="s">
        <v>46</v>
      </c>
      <c r="B351" s="341"/>
      <c r="C351" s="341"/>
      <c r="D351" s="517"/>
      <c r="E351" s="562">
        <v>0.006</v>
      </c>
      <c r="F351" s="564">
        <v>5</v>
      </c>
      <c r="G351" s="505">
        <v>230</v>
      </c>
      <c r="H351" s="214">
        <f>E351*G351</f>
        <v>1.3800000000000001</v>
      </c>
      <c r="I351" s="455">
        <f>(12.7*F351)/100</f>
        <v>0.635</v>
      </c>
      <c r="J351" s="455">
        <f>(F351*11.5)/100</f>
        <v>0.575</v>
      </c>
      <c r="K351" s="455">
        <f>(F351*0.7)/100</f>
        <v>0.035</v>
      </c>
      <c r="L351" s="456">
        <f>(157*F351)/100</f>
        <v>7.85</v>
      </c>
    </row>
    <row r="352" spans="1:12" ht="12.75">
      <c r="A352" s="859" t="s">
        <v>85</v>
      </c>
      <c r="B352" s="278"/>
      <c r="C352" s="278"/>
      <c r="D352" s="860"/>
      <c r="E352" s="861">
        <v>0.006</v>
      </c>
      <c r="F352" s="862">
        <v>6</v>
      </c>
      <c r="G352" s="273">
        <v>53</v>
      </c>
      <c r="H352" s="255">
        <f>E352*G352</f>
        <v>0.318</v>
      </c>
      <c r="I352" s="34">
        <f>(E352*10.3)/0.1</f>
        <v>0.618</v>
      </c>
      <c r="J352" s="35">
        <f>(F352*1)/100</f>
        <v>0.06</v>
      </c>
      <c r="K352" s="35">
        <f>(F352*70.6)/100</f>
        <v>4.236</v>
      </c>
      <c r="L352" s="36">
        <f>(F352*329)/100</f>
        <v>19.74</v>
      </c>
    </row>
    <row r="353" spans="1:12" ht="12.75">
      <c r="A353" s="340" t="s">
        <v>84</v>
      </c>
      <c r="B353" s="341"/>
      <c r="C353" s="341"/>
      <c r="D353" s="517"/>
      <c r="E353" s="433">
        <v>0.07</v>
      </c>
      <c r="F353" s="434">
        <v>68</v>
      </c>
      <c r="G353" s="214">
        <v>180</v>
      </c>
      <c r="H353" s="78">
        <f>G353*E353</f>
        <v>12.600000000000001</v>
      </c>
      <c r="I353" s="54">
        <f>(16*F353)/100</f>
        <v>10.88</v>
      </c>
      <c r="J353" s="256">
        <f>(F353*9)/100</f>
        <v>6.12</v>
      </c>
      <c r="K353" s="256">
        <f>(3*F353)/100</f>
        <v>2.04</v>
      </c>
      <c r="L353" s="532">
        <f>(157*F353)/100</f>
        <v>106.76</v>
      </c>
    </row>
    <row r="354" spans="1:12" ht="12.75">
      <c r="A354" s="340" t="s">
        <v>17</v>
      </c>
      <c r="B354" s="341"/>
      <c r="C354" s="341"/>
      <c r="D354" s="517"/>
      <c r="E354" s="562">
        <v>0.006</v>
      </c>
      <c r="F354" s="505">
        <v>6</v>
      </c>
      <c r="G354" s="214">
        <v>90</v>
      </c>
      <c r="H354" s="78">
        <f>G354*E354</f>
        <v>0.54</v>
      </c>
      <c r="I354" s="80"/>
      <c r="J354" s="80"/>
      <c r="K354" s="80">
        <f>(F354*99.8)/100</f>
        <v>5.9879999999999995</v>
      </c>
      <c r="L354" s="81">
        <f>(F354*399)/100</f>
        <v>23.94</v>
      </c>
    </row>
    <row r="355" spans="1:12" ht="12.75">
      <c r="A355" s="566" t="s">
        <v>86</v>
      </c>
      <c r="B355" s="567"/>
      <c r="C355" s="567"/>
      <c r="D355" s="568"/>
      <c r="E355" s="569">
        <v>2E-05</v>
      </c>
      <c r="F355" s="83">
        <v>0.02</v>
      </c>
      <c r="G355" s="83">
        <v>1400</v>
      </c>
      <c r="H355" s="83">
        <f>G355*E355</f>
        <v>0.028</v>
      </c>
      <c r="I355" s="570"/>
      <c r="J355" s="570"/>
      <c r="K355" s="570"/>
      <c r="L355" s="571"/>
    </row>
    <row r="356" spans="1:14" ht="12.75">
      <c r="A356" s="360" t="s">
        <v>122</v>
      </c>
      <c r="B356" s="572"/>
      <c r="C356" s="573"/>
      <c r="D356" s="574">
        <v>20</v>
      </c>
      <c r="E356" s="575"/>
      <c r="F356" s="574"/>
      <c r="G356" s="576"/>
      <c r="H356" s="576">
        <f>H357</f>
        <v>2.66</v>
      </c>
      <c r="I356" s="577">
        <f>I357</f>
        <v>1.44</v>
      </c>
      <c r="J356" s="577">
        <f>J357</f>
        <v>1.7</v>
      </c>
      <c r="K356" s="577">
        <f>K357</f>
        <v>11.1</v>
      </c>
      <c r="L356" s="577">
        <f>L357</f>
        <v>65.6</v>
      </c>
      <c r="M356" s="345"/>
      <c r="N356" s="206"/>
    </row>
    <row r="357" spans="1:14" ht="12.75">
      <c r="A357" s="578" t="s">
        <v>122</v>
      </c>
      <c r="B357" s="579"/>
      <c r="C357" s="580"/>
      <c r="D357" s="581"/>
      <c r="E357" s="582">
        <v>0.02</v>
      </c>
      <c r="F357" s="583">
        <v>20</v>
      </c>
      <c r="G357" s="584">
        <v>133</v>
      </c>
      <c r="H357" s="585">
        <f>E357*G357</f>
        <v>2.66</v>
      </c>
      <c r="I357" s="45">
        <f>(F357*7.2)/100</f>
        <v>1.44</v>
      </c>
      <c r="J357" s="45">
        <f>(F357*8.5)/100</f>
        <v>1.7</v>
      </c>
      <c r="K357" s="45">
        <f>(F357*55.5)/100</f>
        <v>11.1</v>
      </c>
      <c r="L357" s="46">
        <f>(F357*328)/100</f>
        <v>65.6</v>
      </c>
      <c r="M357" s="345"/>
      <c r="N357" s="221"/>
    </row>
    <row r="358" spans="1:14" ht="12.75" customHeight="1">
      <c r="A358" s="1781" t="s">
        <v>49</v>
      </c>
      <c r="B358" s="1781"/>
      <c r="C358" s="1781"/>
      <c r="D358" s="347">
        <v>150</v>
      </c>
      <c r="E358" s="178"/>
      <c r="F358" s="180"/>
      <c r="G358" s="180"/>
      <c r="H358" s="181">
        <f>H359+H360</f>
        <v>1.214</v>
      </c>
      <c r="I358" s="181">
        <f>SUM(I359:I360)</f>
        <v>0</v>
      </c>
      <c r="J358" s="181">
        <f>SUM(J359:J360)</f>
        <v>0</v>
      </c>
      <c r="K358" s="181">
        <f>SUM(K359:K360)</f>
        <v>10.978</v>
      </c>
      <c r="L358" s="349">
        <f>SUM(L359:L360)</f>
        <v>43.89</v>
      </c>
      <c r="M358" s="345"/>
      <c r="N358" s="221"/>
    </row>
    <row r="359" spans="1:14" ht="12.75" customHeight="1">
      <c r="A359" s="1782" t="s">
        <v>20</v>
      </c>
      <c r="B359" s="1782"/>
      <c r="C359" s="1782"/>
      <c r="D359" s="351"/>
      <c r="E359" s="72">
        <v>0.0005</v>
      </c>
      <c r="F359" s="352">
        <v>0.5</v>
      </c>
      <c r="G359" s="74">
        <v>448</v>
      </c>
      <c r="H359" s="75">
        <f>G359*E359</f>
        <v>0.224</v>
      </c>
      <c r="I359" s="75"/>
      <c r="J359" s="75"/>
      <c r="K359" s="75"/>
      <c r="L359" s="353"/>
      <c r="M359" s="345"/>
      <c r="N359" s="221"/>
    </row>
    <row r="360" spans="1:14" ht="12.75">
      <c r="A360" s="354" t="s">
        <v>17</v>
      </c>
      <c r="B360" s="355"/>
      <c r="C360" s="355"/>
      <c r="D360" s="356"/>
      <c r="E360" s="82">
        <v>0.011</v>
      </c>
      <c r="F360" s="357">
        <v>11</v>
      </c>
      <c r="G360" s="84">
        <v>90</v>
      </c>
      <c r="H360" s="358">
        <f>G360*E360</f>
        <v>0.99</v>
      </c>
      <c r="I360" s="358"/>
      <c r="J360" s="358"/>
      <c r="K360" s="358">
        <f>(F360*99.8)/100</f>
        <v>10.978</v>
      </c>
      <c r="L360" s="359">
        <f>(F360*399)/100</f>
        <v>43.89</v>
      </c>
      <c r="N360" s="221"/>
    </row>
    <row r="361" spans="1:14" ht="12.75">
      <c r="A361" s="863"/>
      <c r="B361" s="864"/>
      <c r="C361" s="864"/>
      <c r="D361" s="207"/>
      <c r="E361" s="223"/>
      <c r="F361" s="223"/>
      <c r="G361" s="209"/>
      <c r="H361" s="210"/>
      <c r="I361" s="211"/>
      <c r="J361" s="211"/>
      <c r="K361" s="211"/>
      <c r="L361" s="865"/>
      <c r="N361" s="221"/>
    </row>
    <row r="362" spans="1:14" ht="15.75">
      <c r="A362" s="768"/>
      <c r="B362" s="769"/>
      <c r="C362" s="770" t="s">
        <v>50</v>
      </c>
      <c r="D362" s="658"/>
      <c r="E362" s="771"/>
      <c r="F362" s="771"/>
      <c r="G362" s="772"/>
      <c r="H362" s="660">
        <f>H358+H357+H347</f>
        <v>21.081</v>
      </c>
      <c r="I362" s="773"/>
      <c r="J362" s="773"/>
      <c r="K362" s="773"/>
      <c r="L362" s="663"/>
      <c r="N362" s="221"/>
    </row>
    <row r="363" spans="1:14" ht="12.75">
      <c r="A363" s="774"/>
      <c r="B363" s="775"/>
      <c r="C363" s="776" t="s">
        <v>24</v>
      </c>
      <c r="D363" s="777"/>
      <c r="E363" s="442"/>
      <c r="F363" s="442"/>
      <c r="G363" s="443"/>
      <c r="H363" s="443"/>
      <c r="I363" s="778">
        <f>I358+I357+I347</f>
        <v>14.173</v>
      </c>
      <c r="J363" s="778">
        <f>J358+J357+J347</f>
        <v>13.402</v>
      </c>
      <c r="K363" s="778">
        <f>K358+K357+K347</f>
        <v>35.364999999999995</v>
      </c>
      <c r="L363" s="778">
        <f>L358+L357+L347</f>
        <v>319.99</v>
      </c>
      <c r="N363" s="221"/>
    </row>
    <row r="364" spans="1:14" ht="12.75">
      <c r="A364" s="866"/>
      <c r="B364" s="618"/>
      <c r="C364" s="867"/>
      <c r="D364" s="868"/>
      <c r="E364" s="867"/>
      <c r="F364" s="867"/>
      <c r="G364" s="869"/>
      <c r="H364" s="869"/>
      <c r="I364" s="870"/>
      <c r="J364" s="870"/>
      <c r="K364" s="870"/>
      <c r="L364" s="871"/>
      <c r="N364" s="221"/>
    </row>
    <row r="365" spans="1:12" ht="12.75">
      <c r="A365" s="779" t="s">
        <v>51</v>
      </c>
      <c r="B365" s="780"/>
      <c r="C365" s="780"/>
      <c r="D365" s="629"/>
      <c r="E365" s="781">
        <v>0.008</v>
      </c>
      <c r="F365" s="430" t="s">
        <v>52</v>
      </c>
      <c r="G365" s="782">
        <v>20</v>
      </c>
      <c r="H365" s="630">
        <f>E365*G365</f>
        <v>0.16</v>
      </c>
      <c r="I365" s="872"/>
      <c r="J365" s="872"/>
      <c r="K365" s="872"/>
      <c r="L365" s="873"/>
    </row>
    <row r="366" spans="1:12" ht="12.75">
      <c r="A366" s="874"/>
      <c r="B366" s="431"/>
      <c r="C366" s="780"/>
      <c r="D366" s="629"/>
      <c r="E366" s="780"/>
      <c r="F366" s="780"/>
      <c r="G366" s="630"/>
      <c r="H366" s="630"/>
      <c r="I366" s="872"/>
      <c r="J366" s="872"/>
      <c r="K366" s="872"/>
      <c r="L366" s="875"/>
    </row>
    <row r="367" spans="1:12" ht="15.75">
      <c r="A367" s="785"/>
      <c r="B367" s="786"/>
      <c r="C367" s="787" t="s">
        <v>53</v>
      </c>
      <c r="D367" s="788"/>
      <c r="E367" s="786"/>
      <c r="F367" s="787"/>
      <c r="G367" s="789"/>
      <c r="H367" s="789">
        <f>H365+H362+H343+H313+H308</f>
        <v>97.393</v>
      </c>
      <c r="I367" s="876"/>
      <c r="J367" s="876"/>
      <c r="K367" s="876"/>
      <c r="L367" s="877">
        <f>L363/1400</f>
        <v>0.22856428571428572</v>
      </c>
    </row>
    <row r="368" spans="1:12" ht="12.75">
      <c r="A368" s="779"/>
      <c r="B368" s="430"/>
      <c r="C368" s="780"/>
      <c r="D368" s="629"/>
      <c r="E368" s="793"/>
      <c r="F368" s="430" t="s">
        <v>24</v>
      </c>
      <c r="G368" s="782"/>
      <c r="H368" s="782"/>
      <c r="I368" s="872"/>
      <c r="J368" s="872"/>
      <c r="K368" s="872"/>
      <c r="L368" s="878"/>
    </row>
    <row r="369" spans="1:12" ht="12.75">
      <c r="A369" s="879" t="s">
        <v>54</v>
      </c>
      <c r="B369" s="880"/>
      <c r="C369" s="881"/>
      <c r="D369" s="882"/>
      <c r="E369" s="881"/>
      <c r="F369" s="881"/>
      <c r="G369" s="883"/>
      <c r="H369" s="883"/>
      <c r="I369" s="884">
        <f>I363+I344+I312+I309</f>
        <v>47.223</v>
      </c>
      <c r="J369" s="884">
        <f>J363+J344+J312+J309</f>
        <v>47.923</v>
      </c>
      <c r="K369" s="884">
        <f>K363+K344+K312+K309</f>
        <v>156.662</v>
      </c>
      <c r="L369" s="884">
        <f>L363+L344+L309</f>
        <v>1184.31</v>
      </c>
    </row>
    <row r="370" spans="1:12" ht="12.75">
      <c r="A370" s="618"/>
      <c r="B370" s="618"/>
      <c r="C370" s="618"/>
      <c r="D370" s="796"/>
      <c r="E370" s="618"/>
      <c r="F370" s="618"/>
      <c r="G370" s="618"/>
      <c r="H370" s="618"/>
      <c r="I370" s="621"/>
      <c r="J370" s="621"/>
      <c r="K370" s="621"/>
      <c r="L370" s="885">
        <f>L369/1400</f>
        <v>0.8459357142857142</v>
      </c>
    </row>
    <row r="371" spans="1:12" ht="12.75">
      <c r="A371" s="618"/>
      <c r="B371" s="618"/>
      <c r="C371" s="618"/>
      <c r="D371" s="796"/>
      <c r="E371" s="618"/>
      <c r="F371" s="618"/>
      <c r="G371" s="618"/>
      <c r="H371" s="618"/>
      <c r="I371" s="621"/>
      <c r="J371" s="621"/>
      <c r="K371" s="621"/>
      <c r="L371" s="885"/>
    </row>
    <row r="372" spans="1:12" ht="12.75">
      <c r="A372" s="618"/>
      <c r="B372" s="618"/>
      <c r="C372" s="618"/>
      <c r="D372" s="796"/>
      <c r="E372" s="618"/>
      <c r="F372" s="618"/>
      <c r="G372" s="618"/>
      <c r="H372" s="618"/>
      <c r="I372" s="621"/>
      <c r="J372" s="621"/>
      <c r="K372" s="621"/>
      <c r="L372" s="885"/>
    </row>
    <row r="373" spans="1:12" ht="12.75">
      <c r="A373" s="618"/>
      <c r="B373" s="618"/>
      <c r="C373" s="618"/>
      <c r="D373" s="796"/>
      <c r="E373" s="618"/>
      <c r="F373" s="618"/>
      <c r="G373" s="618"/>
      <c r="H373" s="618"/>
      <c r="I373" s="621"/>
      <c r="J373" s="621"/>
      <c r="K373" s="621"/>
      <c r="L373" s="885"/>
    </row>
    <row r="374" spans="1:12" ht="12.75">
      <c r="A374" s="618"/>
      <c r="B374" s="618"/>
      <c r="C374" s="618"/>
      <c r="D374" s="796"/>
      <c r="E374" s="618"/>
      <c r="F374" s="618"/>
      <c r="G374" s="618"/>
      <c r="H374" s="618"/>
      <c r="I374" s="621"/>
      <c r="J374" s="621"/>
      <c r="K374" s="621"/>
      <c r="L374" s="885"/>
    </row>
    <row r="375" spans="1:12" ht="12.75">
      <c r="A375" s="618"/>
      <c r="B375" s="618"/>
      <c r="C375" s="618"/>
      <c r="D375" s="796"/>
      <c r="E375" s="618"/>
      <c r="F375" s="618"/>
      <c r="G375" s="618"/>
      <c r="H375" s="618"/>
      <c r="I375" s="621"/>
      <c r="J375" s="621"/>
      <c r="K375" s="621"/>
      <c r="L375" s="885"/>
    </row>
    <row r="376" spans="1:12" ht="12.75">
      <c r="A376" s="618"/>
      <c r="B376" s="618"/>
      <c r="C376" s="618"/>
      <c r="D376" s="796"/>
      <c r="E376" s="618"/>
      <c r="F376" s="618"/>
      <c r="G376" s="618"/>
      <c r="H376" s="618"/>
      <c r="I376" s="621"/>
      <c r="J376" s="621"/>
      <c r="K376" s="621"/>
      <c r="L376" s="885"/>
    </row>
    <row r="377" spans="1:12" ht="12.75">
      <c r="A377" s="618"/>
      <c r="B377" s="618"/>
      <c r="C377" s="618"/>
      <c r="D377" s="796"/>
      <c r="E377" s="618"/>
      <c r="F377" s="618"/>
      <c r="G377" s="618"/>
      <c r="H377" s="618"/>
      <c r="I377" s="621"/>
      <c r="J377" s="621"/>
      <c r="K377" s="621"/>
      <c r="L377" s="885"/>
    </row>
    <row r="378" spans="1:12" ht="12.75">
      <c r="A378" s="618"/>
      <c r="B378" s="618"/>
      <c r="C378" s="618"/>
      <c r="D378" s="796"/>
      <c r="E378" s="618"/>
      <c r="F378" s="618"/>
      <c r="G378" s="618"/>
      <c r="H378" s="618"/>
      <c r="I378" s="621"/>
      <c r="J378" s="621"/>
      <c r="K378" s="621"/>
      <c r="L378" s="885"/>
    </row>
    <row r="379" spans="1:12" ht="12.75">
      <c r="A379" s="618"/>
      <c r="B379" s="618"/>
      <c r="C379" s="618"/>
      <c r="D379" s="796"/>
      <c r="E379" s="618"/>
      <c r="F379" s="618"/>
      <c r="G379" s="618"/>
      <c r="H379" s="618"/>
      <c r="I379" s="618"/>
      <c r="J379" s="618"/>
      <c r="K379" s="618"/>
      <c r="L379" s="618"/>
    </row>
    <row r="380" spans="1:12" ht="15">
      <c r="A380" s="798"/>
      <c r="B380" s="798"/>
      <c r="C380" s="798"/>
      <c r="D380" s="619"/>
      <c r="E380" s="798"/>
      <c r="F380" s="798"/>
      <c r="G380" s="799"/>
      <c r="H380" s="799"/>
      <c r="I380" s="886" t="s">
        <v>123</v>
      </c>
      <c r="J380" s="796"/>
      <c r="K380" s="618"/>
      <c r="L380" s="796"/>
    </row>
    <row r="381" spans="1:12" ht="12.75">
      <c r="A381" s="618"/>
      <c r="B381" s="618"/>
      <c r="C381" s="618"/>
      <c r="D381" s="619" t="s">
        <v>231</v>
      </c>
      <c r="E381" s="618"/>
      <c r="F381" s="618"/>
      <c r="G381" s="620"/>
      <c r="H381" s="620"/>
      <c r="I381" s="618"/>
      <c r="J381" s="796"/>
      <c r="K381" s="618"/>
      <c r="L381" s="796"/>
    </row>
    <row r="382" spans="1:12" ht="25.5">
      <c r="A382" s="1787" t="s">
        <v>2</v>
      </c>
      <c r="B382" s="1787"/>
      <c r="C382" s="1787"/>
      <c r="D382" s="622" t="s">
        <v>3</v>
      </c>
      <c r="E382" s="623" t="s">
        <v>4</v>
      </c>
      <c r="F382" s="623" t="s">
        <v>5</v>
      </c>
      <c r="G382" s="624" t="s">
        <v>6</v>
      </c>
      <c r="H382" s="625" t="s">
        <v>56</v>
      </c>
      <c r="I382" s="623" t="s">
        <v>8</v>
      </c>
      <c r="J382" s="623" t="s">
        <v>9</v>
      </c>
      <c r="K382" s="801" t="s">
        <v>10</v>
      </c>
      <c r="L382" s="623" t="s">
        <v>11</v>
      </c>
    </row>
    <row r="383" spans="1:12" ht="12.75">
      <c r="A383" s="1787"/>
      <c r="B383" s="1787"/>
      <c r="C383" s="1787"/>
      <c r="D383" s="628"/>
      <c r="E383" s="629"/>
      <c r="F383" s="629"/>
      <c r="G383" s="630"/>
      <c r="H383" s="630"/>
      <c r="I383" s="629" t="s">
        <v>12</v>
      </c>
      <c r="J383" s="629"/>
      <c r="K383" s="629"/>
      <c r="L383" s="802"/>
    </row>
    <row r="384" spans="1:12" ht="12.75">
      <c r="A384" s="803"/>
      <c r="B384" s="803"/>
      <c r="C384" s="803"/>
      <c r="D384" s="207"/>
      <c r="E384" s="207"/>
      <c r="F384" s="207"/>
      <c r="G384" s="210"/>
      <c r="H384" s="210"/>
      <c r="I384" s="207"/>
      <c r="J384" s="207"/>
      <c r="K384" s="207"/>
      <c r="L384" s="207"/>
    </row>
    <row r="385" spans="1:12" ht="12.75">
      <c r="A385" s="634"/>
      <c r="B385" s="634"/>
      <c r="C385" s="634"/>
      <c r="D385" s="207"/>
      <c r="E385" s="634"/>
      <c r="F385" s="634"/>
      <c r="G385" s="210"/>
      <c r="H385" s="210"/>
      <c r="I385" s="207" t="s">
        <v>57</v>
      </c>
      <c r="J385" s="207" t="s">
        <v>58</v>
      </c>
      <c r="K385" s="634"/>
      <c r="L385" s="207"/>
    </row>
    <row r="386" spans="1:12" ht="12.75">
      <c r="A386" s="1773" t="s">
        <v>124</v>
      </c>
      <c r="B386" s="1773"/>
      <c r="C386" s="1773"/>
      <c r="D386" s="281">
        <v>150</v>
      </c>
      <c r="E386" s="282"/>
      <c r="F386" s="282"/>
      <c r="G386" s="283"/>
      <c r="H386" s="284">
        <f>H387+H388+H389+H390</f>
        <v>11.603</v>
      </c>
      <c r="I386" s="285">
        <f>I387+I388+I389+I390</f>
        <v>5.46</v>
      </c>
      <c r="J386" s="285">
        <f>J387+J388+J389+J390</f>
        <v>6.345000000000001</v>
      </c>
      <c r="K386" s="285">
        <f>K387+K388+K389+K390</f>
        <v>19.73</v>
      </c>
      <c r="L386" s="285">
        <f>L387+L388+L389+L390</f>
        <v>167.15</v>
      </c>
    </row>
    <row r="387" spans="1:12" ht="12.75">
      <c r="A387" s="56" t="s">
        <v>18</v>
      </c>
      <c r="B387" s="57"/>
      <c r="C387" s="57"/>
      <c r="D387" s="58"/>
      <c r="E387" s="59">
        <v>0.13</v>
      </c>
      <c r="F387" s="60">
        <v>130</v>
      </c>
      <c r="G387" s="61">
        <v>72</v>
      </c>
      <c r="H387" s="62">
        <f>E387*G387</f>
        <v>9.36</v>
      </c>
      <c r="I387" s="916">
        <f>(2.9*F387)/100</f>
        <v>3.77</v>
      </c>
      <c r="J387" s="916">
        <f>(F387*2.5)/100</f>
        <v>3.25</v>
      </c>
      <c r="K387" s="916">
        <f>(4.8*F387)/100</f>
        <v>6.24</v>
      </c>
      <c r="L387" s="917">
        <f>(F387*60)/100</f>
        <v>78</v>
      </c>
    </row>
    <row r="388" spans="1:12" ht="12.75">
      <c r="A388" s="429" t="s">
        <v>16</v>
      </c>
      <c r="B388" s="430"/>
      <c r="C388" s="430"/>
      <c r="D388" s="432"/>
      <c r="E388" s="433">
        <v>0.004</v>
      </c>
      <c r="F388" s="434">
        <v>4</v>
      </c>
      <c r="G388" s="32">
        <v>257</v>
      </c>
      <c r="H388" s="33">
        <f>E388*G388</f>
        <v>1.028</v>
      </c>
      <c r="I388" s="45">
        <f>(F388*1)/100</f>
        <v>0.04</v>
      </c>
      <c r="J388" s="45">
        <f>(F388*72.5)/100</f>
        <v>2.9</v>
      </c>
      <c r="K388" s="45">
        <f>(F388*1.4)/100</f>
        <v>0.055999999999999994</v>
      </c>
      <c r="L388" s="46">
        <f>(F388*662)/100</f>
        <v>26.48</v>
      </c>
    </row>
    <row r="389" spans="1:12" ht="12.75">
      <c r="A389" s="340" t="s">
        <v>31</v>
      </c>
      <c r="B389" s="341"/>
      <c r="C389" s="341"/>
      <c r="D389" s="517"/>
      <c r="E389" s="533">
        <v>0.015</v>
      </c>
      <c r="F389" s="534">
        <v>15</v>
      </c>
      <c r="G389" s="535">
        <v>63</v>
      </c>
      <c r="H389" s="535">
        <f>E389*G389</f>
        <v>0.945</v>
      </c>
      <c r="I389" s="85">
        <f>(11*F389)/100</f>
        <v>1.65</v>
      </c>
      <c r="J389" s="85">
        <f>(1.3*F389)/100</f>
        <v>0.195</v>
      </c>
      <c r="K389" s="85">
        <f>(69.6*F389)/100</f>
        <v>10.44</v>
      </c>
      <c r="L389" s="86">
        <f>(338*F389)/100</f>
        <v>50.7</v>
      </c>
    </row>
    <row r="390" spans="1:12" ht="12.75">
      <c r="A390" s="804" t="s">
        <v>17</v>
      </c>
      <c r="B390" s="805"/>
      <c r="C390" s="806"/>
      <c r="D390" s="807"/>
      <c r="E390" s="544">
        <v>0.003</v>
      </c>
      <c r="F390" s="545">
        <v>3</v>
      </c>
      <c r="G390" s="546">
        <v>90</v>
      </c>
      <c r="H390" s="62">
        <f>E390*G390</f>
        <v>0.27</v>
      </c>
      <c r="I390" s="80"/>
      <c r="J390" s="80"/>
      <c r="K390" s="80">
        <f>(F390*99.8)/100</f>
        <v>2.9939999999999998</v>
      </c>
      <c r="L390" s="81">
        <f>(F390*399)/100</f>
        <v>11.97</v>
      </c>
    </row>
    <row r="391" spans="1:12" ht="12.75">
      <c r="A391" s="1780" t="s">
        <v>252</v>
      </c>
      <c r="B391" s="1780"/>
      <c r="C391" s="1780"/>
      <c r="D391" s="637">
        <v>150</v>
      </c>
      <c r="E391" s="282"/>
      <c r="F391" s="282"/>
      <c r="G391" s="283"/>
      <c r="H391" s="284">
        <f>H392+H394+H393</f>
        <v>11.812</v>
      </c>
      <c r="I391" s="1436"/>
      <c r="J391" s="745">
        <f>SUM(J392:J394)</f>
        <v>3.25</v>
      </c>
      <c r="K391" s="745">
        <f>SUM(K392:K394)</f>
        <v>18.216</v>
      </c>
      <c r="L391" s="285">
        <f>SUM(L392:L394)</f>
        <v>125.88</v>
      </c>
    </row>
    <row r="392" spans="1:12" ht="12.75">
      <c r="A392" s="1437" t="s">
        <v>127</v>
      </c>
      <c r="B392" s="503"/>
      <c r="C392" s="505"/>
      <c r="D392" s="1379"/>
      <c r="E392" s="1438">
        <v>0.002</v>
      </c>
      <c r="F392" s="505">
        <v>2</v>
      </c>
      <c r="G392" s="61">
        <v>686</v>
      </c>
      <c r="H392" s="192">
        <f>E392*G392</f>
        <v>1.372</v>
      </c>
      <c r="I392" s="191"/>
      <c r="J392" s="191"/>
      <c r="K392" s="191"/>
      <c r="L392" s="1243"/>
    </row>
    <row r="393" spans="1:12" ht="12.75">
      <c r="A393" s="1743" t="s">
        <v>18</v>
      </c>
      <c r="B393" s="1744"/>
      <c r="C393" s="1744"/>
      <c r="D393" s="1745"/>
      <c r="E393" s="1746">
        <v>0.13</v>
      </c>
      <c r="F393" s="1747">
        <v>130</v>
      </c>
      <c r="G393" s="1747">
        <v>72</v>
      </c>
      <c r="H393" s="1747">
        <f>G393*E393</f>
        <v>9.36</v>
      </c>
      <c r="I393" s="1715">
        <f>(2.9*F393)/100</f>
        <v>3.77</v>
      </c>
      <c r="J393" s="1715">
        <f>(F393*2.5)/100</f>
        <v>3.25</v>
      </c>
      <c r="K393" s="1715">
        <f>(4.8*F393)/100</f>
        <v>6.24</v>
      </c>
      <c r="L393" s="1716">
        <f>(F393*60)/100</f>
        <v>78</v>
      </c>
    </row>
    <row r="394" spans="1:12" ht="12.75">
      <c r="A394" s="429" t="s">
        <v>17</v>
      </c>
      <c r="B394" s="430"/>
      <c r="C394" s="430"/>
      <c r="D394" s="432"/>
      <c r="E394" s="562">
        <v>0.012</v>
      </c>
      <c r="F394" s="505">
        <v>12</v>
      </c>
      <c r="G394" s="214">
        <v>90</v>
      </c>
      <c r="H394" s="535">
        <f>E394*G394</f>
        <v>1.08</v>
      </c>
      <c r="I394" s="80"/>
      <c r="J394" s="80"/>
      <c r="K394" s="80">
        <f>(F394*99.8)/100</f>
        <v>11.975999999999999</v>
      </c>
      <c r="L394" s="81">
        <f>(F394*399)/100</f>
        <v>47.88</v>
      </c>
    </row>
    <row r="395" spans="1:12" ht="12.75">
      <c r="A395" s="1774" t="s">
        <v>21</v>
      </c>
      <c r="B395" s="1774"/>
      <c r="C395" s="1774"/>
      <c r="D395" s="88" t="s">
        <v>22</v>
      </c>
      <c r="E395" s="89">
        <v>0.02</v>
      </c>
      <c r="F395" s="90">
        <v>20</v>
      </c>
      <c r="G395" s="91">
        <v>91</v>
      </c>
      <c r="H395" s="92">
        <f>E395*G395</f>
        <v>1.82</v>
      </c>
      <c r="I395" s="93">
        <f>(7.5*F395)/100</f>
        <v>1.5</v>
      </c>
      <c r="J395" s="93">
        <f>(9.8*F395)/100</f>
        <v>1.96</v>
      </c>
      <c r="K395" s="93">
        <f>(74.4*F395)/100</f>
        <v>14.88</v>
      </c>
      <c r="L395" s="94">
        <f>(417*F395)/100</f>
        <v>83.4</v>
      </c>
    </row>
    <row r="396" spans="1:12" ht="12.75">
      <c r="A396" s="187"/>
      <c r="B396" s="887"/>
      <c r="C396" s="188"/>
      <c r="D396" s="888"/>
      <c r="E396" s="752"/>
      <c r="F396" s="753"/>
      <c r="G396" s="192"/>
      <c r="H396" s="192"/>
      <c r="I396" s="521"/>
      <c r="J396" s="521"/>
      <c r="K396" s="521"/>
      <c r="L396" s="889"/>
    </row>
    <row r="397" spans="1:12" ht="12.75">
      <c r="A397" s="457"/>
      <c r="B397" s="458"/>
      <c r="C397" s="458"/>
      <c r="D397" s="459"/>
      <c r="E397" s="460"/>
      <c r="F397" s="461"/>
      <c r="G397" s="461"/>
      <c r="H397" s="461"/>
      <c r="I397" s="818"/>
      <c r="J397" s="818"/>
      <c r="K397" s="818"/>
      <c r="L397" s="819"/>
    </row>
    <row r="398" spans="1:12" ht="12.75">
      <c r="A398" s="437"/>
      <c r="B398" s="438"/>
      <c r="C398" s="439"/>
      <c r="D398" s="440"/>
      <c r="E398" s="441"/>
      <c r="F398" s="442"/>
      <c r="G398" s="443"/>
      <c r="H398" s="641"/>
      <c r="I398" s="890"/>
      <c r="J398" s="890"/>
      <c r="K398" s="890"/>
      <c r="L398" s="891"/>
    </row>
    <row r="399" spans="1:12" ht="12.75">
      <c r="A399" s="892"/>
      <c r="B399" s="893"/>
      <c r="C399" s="893"/>
      <c r="D399" s="894"/>
      <c r="E399" s="893"/>
      <c r="F399" s="893"/>
      <c r="G399" s="893"/>
      <c r="H399" s="893"/>
      <c r="I399" s="893"/>
      <c r="J399" s="893"/>
      <c r="K399" s="893"/>
      <c r="L399" s="895"/>
    </row>
    <row r="400" spans="1:12" ht="12.75">
      <c r="A400" s="56"/>
      <c r="B400" s="57"/>
      <c r="C400" s="57"/>
      <c r="D400" s="208"/>
      <c r="E400" s="208"/>
      <c r="F400" s="208"/>
      <c r="G400" s="209"/>
      <c r="H400" s="209"/>
      <c r="I400" s="223"/>
      <c r="J400" s="223"/>
      <c r="K400" s="223"/>
      <c r="L400" s="732"/>
    </row>
    <row r="401" spans="1:12" ht="15.75">
      <c r="A401" s="656" t="s">
        <v>23</v>
      </c>
      <c r="B401" s="657"/>
      <c r="C401" s="657"/>
      <c r="D401" s="658"/>
      <c r="E401" s="659"/>
      <c r="F401" s="658"/>
      <c r="G401" s="660"/>
      <c r="H401" s="660">
        <f>H395+H391+H386</f>
        <v>25.235</v>
      </c>
      <c r="I401" s="661"/>
      <c r="J401" s="661"/>
      <c r="K401" s="662"/>
      <c r="L401" s="663"/>
    </row>
    <row r="402" spans="1:12" ht="12.75">
      <c r="A402" s="664"/>
      <c r="B402" s="665" t="s">
        <v>24</v>
      </c>
      <c r="C402" s="666"/>
      <c r="D402" s="667"/>
      <c r="E402" s="668"/>
      <c r="F402" s="667"/>
      <c r="G402" s="669"/>
      <c r="H402" s="669"/>
      <c r="I402" s="684">
        <f>I395+I391+I386</f>
        <v>6.96</v>
      </c>
      <c r="J402" s="684">
        <f>J395+J391+J386</f>
        <v>11.555</v>
      </c>
      <c r="K402" s="896">
        <f>K395+K391+K386</f>
        <v>52.82600000000001</v>
      </c>
      <c r="L402" s="670">
        <f>L395+L391+L386</f>
        <v>376.43</v>
      </c>
    </row>
    <row r="403" spans="1:12" ht="12.75">
      <c r="A403" s="206"/>
      <c r="B403" s="206"/>
      <c r="C403" s="206"/>
      <c r="D403" s="207"/>
      <c r="E403" s="671"/>
      <c r="F403" s="207"/>
      <c r="G403" s="210"/>
      <c r="H403" s="210"/>
      <c r="I403" s="211"/>
      <c r="J403" s="211"/>
      <c r="K403" s="672"/>
      <c r="L403" s="672">
        <f>L402/1400</f>
        <v>0.2688785714285714</v>
      </c>
    </row>
    <row r="404" spans="1:12" ht="12.75">
      <c r="A404" s="1790" t="s">
        <v>66</v>
      </c>
      <c r="B404" s="1790"/>
      <c r="C404" s="1790"/>
      <c r="D404" s="208"/>
      <c r="E404" s="208"/>
      <c r="F404" s="208"/>
      <c r="G404" s="209"/>
      <c r="H404" s="209"/>
      <c r="I404" s="211"/>
      <c r="J404" s="223"/>
      <c r="K404" s="673"/>
      <c r="L404" s="223"/>
    </row>
    <row r="405" spans="1:12" ht="14.25" customHeight="1">
      <c r="A405" s="1774" t="s">
        <v>26</v>
      </c>
      <c r="B405" s="1774"/>
      <c r="C405" s="1774"/>
      <c r="D405" s="135">
        <v>100</v>
      </c>
      <c r="E405" s="136"/>
      <c r="F405" s="136"/>
      <c r="G405" s="137"/>
      <c r="H405" s="138">
        <f>H406</f>
        <v>7</v>
      </c>
      <c r="I405" s="139"/>
      <c r="J405" s="139"/>
      <c r="K405" s="139"/>
      <c r="L405" s="140">
        <f>L406</f>
        <v>46</v>
      </c>
    </row>
    <row r="406" spans="1:12" ht="14.25" customHeight="1">
      <c r="A406" s="1778" t="s">
        <v>26</v>
      </c>
      <c r="B406" s="1778"/>
      <c r="C406" s="1778"/>
      <c r="D406" s="141"/>
      <c r="E406" s="142">
        <v>0.1</v>
      </c>
      <c r="F406" s="143">
        <v>100</v>
      </c>
      <c r="G406" s="144">
        <v>70</v>
      </c>
      <c r="H406" s="145">
        <f>E406*G406</f>
        <v>7</v>
      </c>
      <c r="I406" s="143"/>
      <c r="J406" s="143"/>
      <c r="K406" s="143">
        <f>(10.1*F406)/100</f>
        <v>10.1</v>
      </c>
      <c r="L406" s="146">
        <f>(F406*46)/100</f>
        <v>46</v>
      </c>
    </row>
    <row r="407" spans="1:12" ht="14.25" customHeight="1">
      <c r="A407" s="593"/>
      <c r="B407" s="337"/>
      <c r="C407" s="96"/>
      <c r="D407" s="50"/>
      <c r="E407" s="95"/>
      <c r="F407" s="96"/>
      <c r="G407" s="97"/>
      <c r="H407" s="97"/>
      <c r="I407" s="204"/>
      <c r="J407" s="204"/>
      <c r="K407" s="204"/>
      <c r="L407" s="205"/>
    </row>
    <row r="408" spans="1:12" ht="12.75">
      <c r="A408" s="457"/>
      <c r="B408" s="458"/>
      <c r="C408" s="474"/>
      <c r="D408" s="475"/>
      <c r="E408" s="476"/>
      <c r="F408" s="477"/>
      <c r="G408" s="478"/>
      <c r="H408" s="478"/>
      <c r="I408" s="479"/>
      <c r="J408" s="479"/>
      <c r="K408" s="479"/>
      <c r="L408" s="480"/>
    </row>
    <row r="409" spans="1:12" ht="12.75">
      <c r="A409" s="682"/>
      <c r="B409" s="683" t="s">
        <v>24</v>
      </c>
      <c r="C409" s="683"/>
      <c r="D409" s="667"/>
      <c r="E409" s="667"/>
      <c r="F409" s="667"/>
      <c r="G409" s="669"/>
      <c r="H409" s="669"/>
      <c r="I409" s="685"/>
      <c r="J409" s="685"/>
      <c r="K409" s="685"/>
      <c r="L409" s="820">
        <f>L405/1400</f>
        <v>0.032857142857142856</v>
      </c>
    </row>
    <row r="410" spans="1:12" ht="15.75">
      <c r="A410" s="674" t="s">
        <v>27</v>
      </c>
      <c r="B410" s="675"/>
      <c r="C410" s="676"/>
      <c r="D410" s="677"/>
      <c r="E410" s="677"/>
      <c r="F410" s="677"/>
      <c r="G410" s="678"/>
      <c r="H410" s="679">
        <f>H405</f>
        <v>7</v>
      </c>
      <c r="I410" s="680"/>
      <c r="J410" s="680"/>
      <c r="K410" s="680"/>
      <c r="L410" s="737"/>
    </row>
    <row r="411" spans="1:12" ht="15.75">
      <c r="A411" s="898" t="s">
        <v>24</v>
      </c>
      <c r="B411" s="899"/>
      <c r="C411" s="900"/>
      <c r="D411" s="901"/>
      <c r="E411" s="901"/>
      <c r="F411" s="901"/>
      <c r="G411" s="902"/>
      <c r="H411" s="902"/>
      <c r="I411" s="903">
        <f>I405</f>
        <v>0</v>
      </c>
      <c r="J411" s="903">
        <f>J405</f>
        <v>0</v>
      </c>
      <c r="K411" s="903">
        <f>K405</f>
        <v>0</v>
      </c>
      <c r="L411" s="903">
        <f>L405</f>
        <v>46</v>
      </c>
    </row>
    <row r="412" spans="1:12" ht="12.75">
      <c r="A412" s="196"/>
      <c r="B412" s="197"/>
      <c r="C412" s="334"/>
      <c r="D412" s="335"/>
      <c r="E412" s="336"/>
      <c r="F412" s="143"/>
      <c r="G412" s="144"/>
      <c r="H412" s="145"/>
      <c r="I412" s="111"/>
      <c r="J412" s="111"/>
      <c r="K412" s="111"/>
      <c r="L412" s="263"/>
    </row>
    <row r="413" spans="1:25" ht="30.75" customHeight="1">
      <c r="A413" s="1791" t="s">
        <v>253</v>
      </c>
      <c r="B413" s="1791"/>
      <c r="C413" s="1791"/>
      <c r="D413" s="829">
        <v>150</v>
      </c>
      <c r="E413" s="693"/>
      <c r="F413" s="104"/>
      <c r="G413" s="105"/>
      <c r="H413" s="106">
        <f>H415+H416+H417+H418+H414</f>
        <v>13.644</v>
      </c>
      <c r="I413" s="577">
        <f>SUM(I414:I418)</f>
        <v>5.457999999999999</v>
      </c>
      <c r="J413" s="577">
        <f>SUM(J414:J418)</f>
        <v>6.075</v>
      </c>
      <c r="K413" s="577">
        <f>SUM(K414:K418)</f>
        <v>10.905999999999999</v>
      </c>
      <c r="L413" s="577">
        <f>SUM(L414:L418)</f>
        <v>115.52000000000001</v>
      </c>
      <c r="N413" s="830"/>
      <c r="O413" s="830"/>
      <c r="P413" s="830"/>
      <c r="Q413" s="314"/>
      <c r="R413" s="831"/>
      <c r="S413" s="831"/>
      <c r="T413" s="267"/>
      <c r="U413" s="316"/>
      <c r="V413" s="314"/>
      <c r="W413" s="314"/>
      <c r="X413" s="314"/>
      <c r="Y413" s="314"/>
    </row>
    <row r="414" spans="1:25" ht="12.75">
      <c r="A414" s="340" t="s">
        <v>245</v>
      </c>
      <c r="B414" s="493"/>
      <c r="C414" s="493"/>
      <c r="D414" s="515"/>
      <c r="E414" s="835">
        <v>0.027</v>
      </c>
      <c r="F414" s="85">
        <v>20</v>
      </c>
      <c r="G414" s="192">
        <v>240</v>
      </c>
      <c r="H414" s="193">
        <f>G414*E414</f>
        <v>6.4799999999999995</v>
      </c>
      <c r="I414" s="495">
        <f>(F414*18.2)/100</f>
        <v>3.64</v>
      </c>
      <c r="J414" s="495">
        <f>(F414*18.4)/100</f>
        <v>3.68</v>
      </c>
      <c r="K414" s="495"/>
      <c r="L414" s="496">
        <f>(F414*238)/100</f>
        <v>47.6</v>
      </c>
      <c r="N414" s="264"/>
      <c r="O414" s="266"/>
      <c r="P414" s="266"/>
      <c r="Q414" s="314"/>
      <c r="R414" s="1116"/>
      <c r="S414" s="268"/>
      <c r="T414" s="267"/>
      <c r="U414" s="288"/>
      <c r="V414" s="291"/>
      <c r="W414" s="291"/>
      <c r="X414" s="291"/>
      <c r="Y414" s="152"/>
    </row>
    <row r="415" spans="1:25" ht="12.75">
      <c r="A415" s="248" t="s">
        <v>16</v>
      </c>
      <c r="B415" s="250"/>
      <c r="C415" s="250"/>
      <c r="D415" s="708"/>
      <c r="E415" s="904">
        <v>0.003</v>
      </c>
      <c r="F415" s="905">
        <v>3</v>
      </c>
      <c r="G415" s="273">
        <v>300</v>
      </c>
      <c r="H415" s="255">
        <f>E415*G415</f>
        <v>0.9</v>
      </c>
      <c r="I415" s="45">
        <f>(F415*1)/100</f>
        <v>0.03</v>
      </c>
      <c r="J415" s="45">
        <f>(F415*72.5)/100</f>
        <v>2.175</v>
      </c>
      <c r="K415" s="45">
        <f>(F415*1.4)/100</f>
        <v>0.041999999999999996</v>
      </c>
      <c r="L415" s="46">
        <f>(F415*662)/100</f>
        <v>19.86</v>
      </c>
      <c r="N415" s="264"/>
      <c r="O415" s="266"/>
      <c r="P415" s="266"/>
      <c r="Q415" s="314"/>
      <c r="R415" s="1116"/>
      <c r="S415" s="268"/>
      <c r="T415" s="267"/>
      <c r="U415" s="288"/>
      <c r="V415" s="233"/>
      <c r="W415" s="233"/>
      <c r="X415" s="233"/>
      <c r="Y415" s="233"/>
    </row>
    <row r="416" spans="1:25" ht="12.75">
      <c r="A416" s="340" t="s">
        <v>46</v>
      </c>
      <c r="B416" s="341"/>
      <c r="C416" s="341"/>
      <c r="D416" s="725"/>
      <c r="E416" s="562">
        <v>0.022</v>
      </c>
      <c r="F416" s="564">
        <v>20</v>
      </c>
      <c r="G416" s="726">
        <v>230</v>
      </c>
      <c r="H416" s="535">
        <f>E416*G416</f>
        <v>5.06</v>
      </c>
      <c r="I416" s="455">
        <f>(F416*8)/100</f>
        <v>1.6</v>
      </c>
      <c r="J416" s="455">
        <f>(F416*1)/100</f>
        <v>0.2</v>
      </c>
      <c r="K416" s="455">
        <f>(F416*49.1)/100</f>
        <v>9.82</v>
      </c>
      <c r="L416" s="220">
        <f>(206*F416)/100</f>
        <v>41.2</v>
      </c>
      <c r="N416" s="221"/>
      <c r="O416" s="221"/>
      <c r="P416" s="221"/>
      <c r="Q416" s="994"/>
      <c r="R416" s="563"/>
      <c r="S416" s="565"/>
      <c r="T416" s="1439"/>
      <c r="U416" s="209"/>
      <c r="V416" s="279"/>
      <c r="W416" s="279"/>
      <c r="X416" s="279"/>
      <c r="Y416" s="237"/>
    </row>
    <row r="417" spans="1:25" ht="12.75">
      <c r="A417" s="248" t="s">
        <v>33</v>
      </c>
      <c r="B417" s="250"/>
      <c r="C417" s="250"/>
      <c r="D417" s="708"/>
      <c r="E417" s="904">
        <v>0.008</v>
      </c>
      <c r="F417" s="905">
        <v>6</v>
      </c>
      <c r="G417" s="273">
        <v>63</v>
      </c>
      <c r="H417" s="255">
        <f>E417*G417</f>
        <v>0.504</v>
      </c>
      <c r="I417" s="204">
        <f>(F417*1.4)/100</f>
        <v>0.08399999999999999</v>
      </c>
      <c r="J417" s="204">
        <f>(F417*0.2)/100</f>
        <v>0.012000000000000002</v>
      </c>
      <c r="K417" s="204">
        <f>(F417*8.2)/100</f>
        <v>0.49199999999999994</v>
      </c>
      <c r="L417" s="216">
        <f>(F417*77)/100</f>
        <v>4.62</v>
      </c>
      <c r="N417" s="264"/>
      <c r="O417" s="266"/>
      <c r="P417" s="266"/>
      <c r="Q417" s="314"/>
      <c r="R417" s="1116"/>
      <c r="S417" s="268"/>
      <c r="T417" s="267"/>
      <c r="U417" s="288"/>
      <c r="V417" s="268"/>
      <c r="W417" s="268"/>
      <c r="X417" s="268"/>
      <c r="Y417" s="223"/>
    </row>
    <row r="418" spans="1:25" ht="12.75">
      <c r="A418" s="1189" t="s">
        <v>34</v>
      </c>
      <c r="B418" s="1440"/>
      <c r="C418" s="1440"/>
      <c r="D418" s="1441"/>
      <c r="E418" s="1442">
        <v>0.01</v>
      </c>
      <c r="F418" s="1193">
        <v>8</v>
      </c>
      <c r="G418" s="1132">
        <v>70</v>
      </c>
      <c r="H418" s="1443">
        <f>E418*G418</f>
        <v>0.7000000000000001</v>
      </c>
      <c r="I418" s="231">
        <f>(F418*1.3)/100</f>
        <v>0.10400000000000001</v>
      </c>
      <c r="J418" s="231">
        <f>(F418*0.1)/100</f>
        <v>0.008</v>
      </c>
      <c r="K418" s="231">
        <f>(F418*6.9)/100</f>
        <v>0.552</v>
      </c>
      <c r="L418" s="767">
        <f>(F418*28)/100</f>
        <v>2.24</v>
      </c>
      <c r="N418" s="264"/>
      <c r="O418" s="264"/>
      <c r="P418" s="264"/>
      <c r="Q418" s="325"/>
      <c r="R418" s="1116"/>
      <c r="S418" s="268"/>
      <c r="T418" s="267"/>
      <c r="U418" s="288"/>
      <c r="V418" s="268"/>
      <c r="W418" s="268"/>
      <c r="X418" s="268"/>
      <c r="Y418" s="223"/>
    </row>
    <row r="419" spans="1:14" ht="12.75">
      <c r="A419" s="1780" t="s">
        <v>129</v>
      </c>
      <c r="B419" s="1780"/>
      <c r="C419" s="1780"/>
      <c r="D419" s="281">
        <v>60</v>
      </c>
      <c r="E419" s="282"/>
      <c r="F419" s="282"/>
      <c r="G419" s="283"/>
      <c r="H419" s="284">
        <f>SUM(H420:H426)</f>
        <v>29.126</v>
      </c>
      <c r="I419" s="745">
        <f>SUM(I420:I426)</f>
        <v>13.053</v>
      </c>
      <c r="J419" s="745">
        <f>SUM(J420:J426)</f>
        <v>4.761</v>
      </c>
      <c r="K419" s="745">
        <f>SUM(K420:K426)</f>
        <v>8.836</v>
      </c>
      <c r="L419" s="285">
        <f>SUM(L420:L426)</f>
        <v>131.68</v>
      </c>
      <c r="N419" s="221"/>
    </row>
    <row r="420" spans="1:14" ht="12.75">
      <c r="A420" s="538" t="s">
        <v>107</v>
      </c>
      <c r="B420" s="907"/>
      <c r="C420" s="908"/>
      <c r="D420" s="251"/>
      <c r="E420" s="261">
        <v>0.08</v>
      </c>
      <c r="F420" s="262">
        <v>60</v>
      </c>
      <c r="G420" s="112">
        <v>300</v>
      </c>
      <c r="H420" s="112">
        <f>E420*G420</f>
        <v>24</v>
      </c>
      <c r="I420" s="111">
        <f>(F420*17.2)/100</f>
        <v>10.32</v>
      </c>
      <c r="J420" s="111">
        <f>(0.5*F420)/100</f>
        <v>0.3</v>
      </c>
      <c r="K420" s="111"/>
      <c r="L420" s="909">
        <f>(73*F420)/100</f>
        <v>43.8</v>
      </c>
      <c r="N420" s="221"/>
    </row>
    <row r="421" spans="1:14" ht="12.75">
      <c r="A421" s="340" t="s">
        <v>33</v>
      </c>
      <c r="B421" s="341"/>
      <c r="C421" s="341"/>
      <c r="D421" s="725"/>
      <c r="E421" s="562">
        <v>0.012</v>
      </c>
      <c r="F421" s="564">
        <v>10</v>
      </c>
      <c r="G421" s="726">
        <v>56</v>
      </c>
      <c r="H421" s="535">
        <f>G421*E421</f>
        <v>0.672</v>
      </c>
      <c r="I421" s="834">
        <f>(F421*1.4)/100</f>
        <v>0.14</v>
      </c>
      <c r="J421" s="834">
        <f>(F421*0.2)/100</f>
        <v>0.02</v>
      </c>
      <c r="K421" s="834">
        <f>(F421*8.2)/100</f>
        <v>0.82</v>
      </c>
      <c r="L421" s="220">
        <f>(F421*41)/100</f>
        <v>4.1</v>
      </c>
      <c r="N421" s="221"/>
    </row>
    <row r="422" spans="1:14" ht="12.75">
      <c r="A422" s="340" t="s">
        <v>42</v>
      </c>
      <c r="B422" s="341"/>
      <c r="C422" s="341"/>
      <c r="D422" s="725"/>
      <c r="E422" s="562">
        <v>0.01</v>
      </c>
      <c r="F422" s="564">
        <v>10</v>
      </c>
      <c r="G422" s="726">
        <v>64</v>
      </c>
      <c r="H422" s="535">
        <f>E422*G422</f>
        <v>0.64</v>
      </c>
      <c r="I422" s="455">
        <f>(F422*8)/100</f>
        <v>0.8</v>
      </c>
      <c r="J422" s="455">
        <f>(F422*1)/100</f>
        <v>0.1</v>
      </c>
      <c r="K422" s="455">
        <f>(F422*49.1)/100</f>
        <v>4.91</v>
      </c>
      <c r="L422" s="456">
        <f>(F422*238)/100</f>
        <v>23.8</v>
      </c>
      <c r="N422" s="221"/>
    </row>
    <row r="423" spans="1:14" ht="12.75">
      <c r="A423" s="340" t="s">
        <v>37</v>
      </c>
      <c r="B423" s="341"/>
      <c r="C423" s="341"/>
      <c r="D423" s="725"/>
      <c r="E423" s="562">
        <v>0.003</v>
      </c>
      <c r="F423" s="564">
        <v>3</v>
      </c>
      <c r="G423" s="726">
        <v>129</v>
      </c>
      <c r="H423" s="535">
        <f>E423*G423</f>
        <v>0.387</v>
      </c>
      <c r="I423" s="455"/>
      <c r="J423" s="455">
        <f>(F423*99.9)/100</f>
        <v>2.9970000000000003</v>
      </c>
      <c r="K423" s="455"/>
      <c r="L423" s="910">
        <f>(F423*899)/100</f>
        <v>26.97</v>
      </c>
      <c r="N423" s="206"/>
    </row>
    <row r="424" spans="1:14" ht="12.75">
      <c r="A424" s="508" t="s">
        <v>18</v>
      </c>
      <c r="B424" s="913"/>
      <c r="C424" s="70"/>
      <c r="D424" s="914"/>
      <c r="E424" s="915">
        <v>0.02</v>
      </c>
      <c r="F424" s="455">
        <v>20</v>
      </c>
      <c r="G424" s="290">
        <v>72</v>
      </c>
      <c r="H424" s="535">
        <f>E424*G424</f>
        <v>1.44</v>
      </c>
      <c r="I424" s="916">
        <f>(2.9*F424)/100</f>
        <v>0.58</v>
      </c>
      <c r="J424" s="916">
        <f>(F424*2.5)/100</f>
        <v>0.5</v>
      </c>
      <c r="K424" s="916">
        <f>(4.8*F424)/100</f>
        <v>0.96</v>
      </c>
      <c r="L424" s="917">
        <f>(F424*60)/100</f>
        <v>12</v>
      </c>
      <c r="N424" s="206"/>
    </row>
    <row r="425" spans="1:14" ht="12.75">
      <c r="A425" s="340" t="s">
        <v>254</v>
      </c>
      <c r="B425" s="341"/>
      <c r="C425" s="341"/>
      <c r="D425" s="725"/>
      <c r="E425" s="562">
        <v>0.003</v>
      </c>
      <c r="F425" s="564">
        <v>3</v>
      </c>
      <c r="G425" s="726">
        <v>49</v>
      </c>
      <c r="H425" s="535">
        <f>E425*G425</f>
        <v>0.147</v>
      </c>
      <c r="I425" s="560">
        <f>(F425*10.8)/100</f>
        <v>0.32400000000000007</v>
      </c>
      <c r="J425" s="560">
        <f>(F425*1.3)/100</f>
        <v>0.03900000000000001</v>
      </c>
      <c r="K425" s="560">
        <f>(F425*69.9)/100</f>
        <v>2.097</v>
      </c>
      <c r="L425" s="912">
        <f>(F425*334)/100</f>
        <v>10.02</v>
      </c>
      <c r="N425" s="206"/>
    </row>
    <row r="426" spans="1:14" ht="12.75">
      <c r="A426" s="340" t="s">
        <v>46</v>
      </c>
      <c r="B426" s="341"/>
      <c r="C426" s="341"/>
      <c r="D426" s="725"/>
      <c r="E426" s="562">
        <v>0.008</v>
      </c>
      <c r="F426" s="564">
        <v>7</v>
      </c>
      <c r="G426" s="726">
        <v>230</v>
      </c>
      <c r="H426" s="535">
        <f>E426*G426</f>
        <v>1.84</v>
      </c>
      <c r="I426" s="455">
        <f>(12.7*F426)/100</f>
        <v>0.8889999999999999</v>
      </c>
      <c r="J426" s="455">
        <f>(F426*11.5)/100</f>
        <v>0.805</v>
      </c>
      <c r="K426" s="455">
        <f>(F426*0.7)/100</f>
        <v>0.049</v>
      </c>
      <c r="L426" s="456">
        <f>(157*F426)/100</f>
        <v>10.99</v>
      </c>
      <c r="N426" s="221"/>
    </row>
    <row r="427" spans="1:25" ht="12.75">
      <c r="A427" s="309" t="s">
        <v>109</v>
      </c>
      <c r="B427" s="310"/>
      <c r="C427" s="310"/>
      <c r="D427" s="311">
        <v>100</v>
      </c>
      <c r="E427" s="312"/>
      <c r="F427" s="282"/>
      <c r="G427" s="283"/>
      <c r="H427" s="284">
        <f>SUM(H428:H430)</f>
        <v>10.2</v>
      </c>
      <c r="I427" s="285">
        <f>I428+I429+I430</f>
        <v>2.22</v>
      </c>
      <c r="J427" s="285">
        <f>J428+J429+J430</f>
        <v>3.7199999999999998</v>
      </c>
      <c r="K427" s="285">
        <f>K428+K429+K430</f>
        <v>14.056</v>
      </c>
      <c r="L427" s="285">
        <f>L428+L429+L430</f>
        <v>100.08</v>
      </c>
      <c r="N427" s="206"/>
      <c r="O427" s="206"/>
      <c r="P427" s="206"/>
      <c r="Q427" s="207"/>
      <c r="R427" s="57"/>
      <c r="S427" s="57"/>
      <c r="T427" s="209"/>
      <c r="U427" s="210"/>
      <c r="V427" s="211"/>
      <c r="W427" s="211"/>
      <c r="X427" s="211"/>
      <c r="Y427" s="211"/>
    </row>
    <row r="428" spans="1:25" ht="12.75">
      <c r="A428" s="429" t="s">
        <v>32</v>
      </c>
      <c r="B428" s="430"/>
      <c r="C428" s="430"/>
      <c r="D428" s="751"/>
      <c r="E428" s="752">
        <v>0.135</v>
      </c>
      <c r="F428" s="753">
        <v>80</v>
      </c>
      <c r="G428" s="192">
        <v>56</v>
      </c>
      <c r="H428" s="192">
        <f>E428*G428</f>
        <v>7.5600000000000005</v>
      </c>
      <c r="I428" s="204">
        <f>(F428*2)/100</f>
        <v>1.6</v>
      </c>
      <c r="J428" s="204">
        <f>(F428*0.4)/100</f>
        <v>0.32</v>
      </c>
      <c r="K428" s="204">
        <f>(F428*16.3)/100</f>
        <v>13.04</v>
      </c>
      <c r="L428" s="205">
        <f>(F428*77)/100</f>
        <v>61.6</v>
      </c>
      <c r="N428" s="206"/>
      <c r="O428" s="206"/>
      <c r="P428" s="206"/>
      <c r="Q428" s="207"/>
      <c r="R428" s="57"/>
      <c r="S428" s="57"/>
      <c r="T428" s="209"/>
      <c r="U428" s="210"/>
      <c r="V428" s="211"/>
      <c r="W428" s="211"/>
      <c r="X428" s="211"/>
      <c r="Y428" s="211"/>
    </row>
    <row r="429" spans="1:25" ht="12.75">
      <c r="A429" s="429" t="s">
        <v>18</v>
      </c>
      <c r="B429" s="430"/>
      <c r="C429" s="430"/>
      <c r="D429" s="751"/>
      <c r="E429" s="754">
        <v>0.02</v>
      </c>
      <c r="F429" s="755">
        <v>20</v>
      </c>
      <c r="G429" s="756">
        <v>72</v>
      </c>
      <c r="H429" s="756">
        <f>G429*E429</f>
        <v>1.44</v>
      </c>
      <c r="I429" s="63">
        <f>(2.9*F429)/100</f>
        <v>0.58</v>
      </c>
      <c r="J429" s="63">
        <f>(F429*2.5)/100</f>
        <v>0.5</v>
      </c>
      <c r="K429" s="63">
        <f>(4.8*F429)/100</f>
        <v>0.96</v>
      </c>
      <c r="L429" s="64">
        <f>(F429*60)/100</f>
        <v>12</v>
      </c>
      <c r="N429" s="206"/>
      <c r="O429" s="206"/>
      <c r="P429" s="206"/>
      <c r="Q429" s="207"/>
      <c r="R429" s="57"/>
      <c r="S429" s="57"/>
      <c r="T429" s="209"/>
      <c r="U429" s="210"/>
      <c r="V429" s="211"/>
      <c r="W429" s="211"/>
      <c r="X429" s="211"/>
      <c r="Y429" s="211"/>
    </row>
    <row r="430" spans="1:25" ht="12.75">
      <c r="A430" s="429" t="s">
        <v>16</v>
      </c>
      <c r="B430" s="430"/>
      <c r="C430" s="430"/>
      <c r="D430" s="751"/>
      <c r="E430" s="544">
        <v>0.004</v>
      </c>
      <c r="F430" s="545">
        <v>4</v>
      </c>
      <c r="G430" s="546">
        <v>300</v>
      </c>
      <c r="H430" s="756">
        <f>G430*E430</f>
        <v>1.2</v>
      </c>
      <c r="I430" s="45">
        <f>(F430*1)/100</f>
        <v>0.04</v>
      </c>
      <c r="J430" s="45">
        <f>(F430*72.5)/100</f>
        <v>2.9</v>
      </c>
      <c r="K430" s="45">
        <f>(F430*1.4)/100</f>
        <v>0.055999999999999994</v>
      </c>
      <c r="L430" s="46">
        <f>(F430*662)/100</f>
        <v>26.48</v>
      </c>
      <c r="N430" s="206"/>
      <c r="O430" s="206"/>
      <c r="P430" s="206"/>
      <c r="Q430" s="207"/>
      <c r="R430" s="57"/>
      <c r="S430" s="57"/>
      <c r="T430" s="209"/>
      <c r="U430" s="210"/>
      <c r="V430" s="211"/>
      <c r="W430" s="211"/>
      <c r="X430" s="211"/>
      <c r="Y430" s="211"/>
    </row>
    <row r="431" spans="1:25" ht="12.75">
      <c r="A431" s="918"/>
      <c r="B431" s="919"/>
      <c r="C431" s="919"/>
      <c r="D431" s="920"/>
      <c r="E431" s="921"/>
      <c r="F431" s="922"/>
      <c r="G431" s="923"/>
      <c r="H431" s="924"/>
      <c r="I431" s="925"/>
      <c r="J431" s="925"/>
      <c r="K431" s="925"/>
      <c r="L431" s="926"/>
      <c r="N431" s="221"/>
      <c r="O431" s="221"/>
      <c r="P431" s="221"/>
      <c r="Q431" s="247"/>
      <c r="R431" s="270"/>
      <c r="S431" s="28"/>
      <c r="T431" s="150"/>
      <c r="U431" s="151"/>
      <c r="V431" s="279"/>
      <c r="W431" s="279"/>
      <c r="X431" s="279"/>
      <c r="Y431" s="279"/>
    </row>
    <row r="432" spans="1:14" ht="12.75">
      <c r="A432" s="1776" t="s">
        <v>130</v>
      </c>
      <c r="B432" s="1776"/>
      <c r="C432" s="1776"/>
      <c r="D432" s="103">
        <v>200</v>
      </c>
      <c r="E432" s="331"/>
      <c r="F432" s="331"/>
      <c r="G432" s="105"/>
      <c r="H432" s="106">
        <f>H433+H434</f>
        <v>5.07</v>
      </c>
      <c r="I432" s="108">
        <f>I433+I434</f>
        <v>0.065</v>
      </c>
      <c r="J432" s="108">
        <f>J433+J434</f>
        <v>0.026000000000000002</v>
      </c>
      <c r="K432" s="108">
        <f>K433+K434</f>
        <v>13.454999999999998</v>
      </c>
      <c r="L432" s="108">
        <f>L433+L434</f>
        <v>55.51</v>
      </c>
      <c r="N432" s="221"/>
    </row>
    <row r="433" spans="1:14" ht="12.75">
      <c r="A433" s="538" t="s">
        <v>131</v>
      </c>
      <c r="B433" s="539"/>
      <c r="C433" s="540"/>
      <c r="D433" s="541"/>
      <c r="E433" s="261">
        <v>0.013000000000000001</v>
      </c>
      <c r="F433" s="262">
        <v>13</v>
      </c>
      <c r="G433" s="112">
        <v>300</v>
      </c>
      <c r="H433" s="113">
        <f>E433*G433</f>
        <v>3.9000000000000004</v>
      </c>
      <c r="I433" s="111">
        <f>(F433*0.5)/100</f>
        <v>0.065</v>
      </c>
      <c r="J433" s="111">
        <f>(0.2*F433)/100</f>
        <v>0.026000000000000002</v>
      </c>
      <c r="K433" s="111">
        <f>(3.7*F433)/100</f>
        <v>0.48100000000000004</v>
      </c>
      <c r="L433" s="263">
        <f>(28*F433)/100</f>
        <v>3.64</v>
      </c>
      <c r="N433" s="221"/>
    </row>
    <row r="434" spans="1:14" ht="12.75">
      <c r="A434" s="340" t="s">
        <v>17</v>
      </c>
      <c r="B434" s="493"/>
      <c r="C434" s="542"/>
      <c r="D434" s="543"/>
      <c r="E434" s="544">
        <v>0.013000000000000001</v>
      </c>
      <c r="F434" s="545">
        <v>13</v>
      </c>
      <c r="G434" s="546">
        <v>90</v>
      </c>
      <c r="H434" s="33">
        <f>E434*G434</f>
        <v>1.1700000000000002</v>
      </c>
      <c r="I434" s="80"/>
      <c r="J434" s="80"/>
      <c r="K434" s="80">
        <f>(F434*99.8)/100</f>
        <v>12.973999999999998</v>
      </c>
      <c r="L434" s="81">
        <f>(F434*399)/100</f>
        <v>51.87</v>
      </c>
      <c r="N434" s="221"/>
    </row>
    <row r="435" spans="1:14" ht="12.75">
      <c r="A435" s="1780" t="s">
        <v>41</v>
      </c>
      <c r="B435" s="1780"/>
      <c r="C435" s="1780"/>
      <c r="D435" s="927">
        <v>30</v>
      </c>
      <c r="E435" s="66">
        <v>0.03</v>
      </c>
      <c r="F435" s="21">
        <v>30</v>
      </c>
      <c r="G435" s="22">
        <v>35</v>
      </c>
      <c r="H435" s="23">
        <f>E435*G435</f>
        <v>1.05</v>
      </c>
      <c r="I435" s="294">
        <f>(6.6*F435)/100</f>
        <v>1.98</v>
      </c>
      <c r="J435" s="294">
        <f>(1.2*F435)/100</f>
        <v>0.36</v>
      </c>
      <c r="K435" s="294">
        <f>(33.4*F435)/100</f>
        <v>10.02</v>
      </c>
      <c r="L435" s="67">
        <f>(174*F435)/100</f>
        <v>52.2</v>
      </c>
      <c r="N435" s="221"/>
    </row>
    <row r="436" spans="1:14" ht="12.75">
      <c r="A436" s="1780" t="s">
        <v>42</v>
      </c>
      <c r="B436" s="1780"/>
      <c r="C436" s="1780"/>
      <c r="D436" s="853">
        <v>20</v>
      </c>
      <c r="E436" s="66">
        <v>0.02</v>
      </c>
      <c r="F436" s="21">
        <v>20</v>
      </c>
      <c r="G436" s="22">
        <v>64</v>
      </c>
      <c r="H436" s="23">
        <f>E436*G436</f>
        <v>1.28</v>
      </c>
      <c r="I436" s="294">
        <f>(F436*8)/100</f>
        <v>1.6</v>
      </c>
      <c r="J436" s="294">
        <f>(F436*1)/100</f>
        <v>0.2</v>
      </c>
      <c r="K436" s="294">
        <f>(F436*49.1)/100</f>
        <v>9.82</v>
      </c>
      <c r="L436" s="67">
        <f>(F436*238)/100</f>
        <v>47.6</v>
      </c>
      <c r="N436" s="221"/>
    </row>
    <row r="437" spans="1:14" ht="12.75">
      <c r="A437" s="56"/>
      <c r="B437" s="221"/>
      <c r="C437" s="221"/>
      <c r="D437" s="247"/>
      <c r="E437" s="57"/>
      <c r="F437" s="57"/>
      <c r="G437" s="209"/>
      <c r="H437" s="209"/>
      <c r="I437" s="223"/>
      <c r="J437" s="223"/>
      <c r="K437" s="223"/>
      <c r="L437" s="732"/>
      <c r="N437" s="221"/>
    </row>
    <row r="438" spans="1:14" ht="15.75">
      <c r="A438" s="733"/>
      <c r="B438" s="675"/>
      <c r="C438" s="734" t="s">
        <v>43</v>
      </c>
      <c r="D438" s="735"/>
      <c r="E438" s="734"/>
      <c r="F438" s="734"/>
      <c r="G438" s="679"/>
      <c r="H438" s="679">
        <f>H436+H435+H432+H431+H427+H419+H413</f>
        <v>60.37</v>
      </c>
      <c r="I438" s="736"/>
      <c r="J438" s="680"/>
      <c r="K438" s="680"/>
      <c r="L438" s="737"/>
      <c r="N438" s="221"/>
    </row>
    <row r="439" spans="1:14" ht="12.75">
      <c r="A439" s="855"/>
      <c r="B439" s="740" t="s">
        <v>24</v>
      </c>
      <c r="C439" s="740"/>
      <c r="D439" s="741"/>
      <c r="E439" s="740"/>
      <c r="F439" s="740"/>
      <c r="G439" s="742"/>
      <c r="H439" s="742" t="s">
        <v>12</v>
      </c>
      <c r="I439" s="930">
        <f>I436+I435+I432+I427+I419+I413+I431</f>
        <v>24.375999999999998</v>
      </c>
      <c r="J439" s="930">
        <f>J436+J435+J432+J427+J419+J413+J431</f>
        <v>15.142</v>
      </c>
      <c r="K439" s="930">
        <f>K436+K435+K432+K427+K419+K413+K431</f>
        <v>67.09299999999999</v>
      </c>
      <c r="L439" s="930">
        <f>L436+L435+L432+L427+L419+L413+L431</f>
        <v>502.59000000000003</v>
      </c>
      <c r="N439" s="221"/>
    </row>
    <row r="440" spans="1:12" ht="12.75">
      <c r="A440" s="931"/>
      <c r="B440" s="57"/>
      <c r="C440" s="634"/>
      <c r="D440" s="207"/>
      <c r="E440" s="634"/>
      <c r="F440" s="634"/>
      <c r="G440" s="210"/>
      <c r="H440" s="210"/>
      <c r="I440" s="223"/>
      <c r="J440" s="223"/>
      <c r="K440" s="223"/>
      <c r="L440" s="932">
        <f>L439/1400</f>
        <v>0.35899285714285717</v>
      </c>
    </row>
    <row r="441" spans="1:12" ht="15.75">
      <c r="A441" s="770"/>
      <c r="B441" s="57"/>
      <c r="C441" s="57"/>
      <c r="D441" s="208"/>
      <c r="E441" s="57"/>
      <c r="F441" s="57"/>
      <c r="G441" s="209"/>
      <c r="H441" s="660"/>
      <c r="I441" s="223"/>
      <c r="J441" s="223"/>
      <c r="K441" s="223"/>
      <c r="L441" s="223"/>
    </row>
    <row r="442" spans="1:12" ht="12.75">
      <c r="A442" s="57"/>
      <c r="B442" s="634" t="s">
        <v>44</v>
      </c>
      <c r="C442" s="634" t="s">
        <v>105</v>
      </c>
      <c r="D442" s="208"/>
      <c r="E442" s="57"/>
      <c r="F442" s="57"/>
      <c r="G442" s="57"/>
      <c r="H442" s="57"/>
      <c r="I442" s="634"/>
      <c r="J442" s="634"/>
      <c r="K442" s="209"/>
      <c r="L442" s="208"/>
    </row>
    <row r="443" spans="1:14" ht="12.75">
      <c r="A443" s="1774" t="s">
        <v>132</v>
      </c>
      <c r="B443" s="1774"/>
      <c r="C443" s="1774"/>
      <c r="D443" s="135">
        <v>90</v>
      </c>
      <c r="E443" s="236"/>
      <c r="F443" s="236"/>
      <c r="G443" s="137"/>
      <c r="H443" s="138">
        <f>H444+H445+H446+H447+H448+H449+H451+H450</f>
        <v>13.022000000000002</v>
      </c>
      <c r="I443" s="140">
        <f>I444+I445+I446+I447+I448+I449+I450</f>
        <v>8.33</v>
      </c>
      <c r="J443" s="140">
        <f>J444+J445+J446+J447+J448+J449+J450</f>
        <v>8.045000000000002</v>
      </c>
      <c r="K443" s="140">
        <f>K444+K445+K446+K447+K448+K449+K450</f>
        <v>55.652</v>
      </c>
      <c r="L443" s="140">
        <f>L444+L445+L446+L447+L448+L449+L450</f>
        <v>356.49</v>
      </c>
      <c r="N443" s="313"/>
    </row>
    <row r="444" spans="1:14" ht="12.75">
      <c r="A444" s="933" t="s">
        <v>37</v>
      </c>
      <c r="B444" s="934"/>
      <c r="C444" s="935"/>
      <c r="D444" s="453"/>
      <c r="E444" s="936">
        <v>0.003</v>
      </c>
      <c r="F444" s="937">
        <v>3</v>
      </c>
      <c r="G444" s="938">
        <v>129</v>
      </c>
      <c r="H444" s="939">
        <f>G444*E444</f>
        <v>0.387</v>
      </c>
      <c r="I444" s="521"/>
      <c r="J444" s="455">
        <f>(F444*99.9)/100</f>
        <v>2.9970000000000003</v>
      </c>
      <c r="K444" s="80"/>
      <c r="L444" s="522">
        <f>(F444*899)/100</f>
        <v>26.97</v>
      </c>
      <c r="N444" s="264"/>
    </row>
    <row r="445" spans="1:14" ht="12.75">
      <c r="A445" s="68" t="s">
        <v>16</v>
      </c>
      <c r="B445" s="70"/>
      <c r="C445" s="70"/>
      <c r="D445" s="71"/>
      <c r="E445" s="448">
        <v>0.004</v>
      </c>
      <c r="F445" s="449">
        <v>4</v>
      </c>
      <c r="G445" s="447">
        <v>300</v>
      </c>
      <c r="H445" s="201">
        <f>G445*E445</f>
        <v>1.2</v>
      </c>
      <c r="I445" s="518">
        <v>0</v>
      </c>
      <c r="J445" s="518">
        <f>(F445*8.2)/100</f>
        <v>0.32799999999999996</v>
      </c>
      <c r="K445" s="518">
        <f>(F445*0.8)/100</f>
        <v>0.032</v>
      </c>
      <c r="L445" s="519">
        <f>(F445*748)/100</f>
        <v>29.92</v>
      </c>
      <c r="N445" s="264"/>
    </row>
    <row r="446" spans="1:14" ht="12.75">
      <c r="A446" s="589" t="s">
        <v>18</v>
      </c>
      <c r="B446" s="590"/>
      <c r="C446" s="590"/>
      <c r="D446" s="720"/>
      <c r="E446" s="51">
        <v>0.02</v>
      </c>
      <c r="F446" s="52">
        <v>20</v>
      </c>
      <c r="G446" s="53">
        <v>72</v>
      </c>
      <c r="H446" s="145">
        <f>G446*E446</f>
        <v>1.44</v>
      </c>
      <c r="I446" s="916">
        <f>(2.9*F446)/100</f>
        <v>0.58</v>
      </c>
      <c r="J446" s="916">
        <f>(F446*2.5)/100</f>
        <v>0.5</v>
      </c>
      <c r="K446" s="916">
        <f>(4.8*F446)/100</f>
        <v>0.96</v>
      </c>
      <c r="L446" s="917">
        <f>(F446*60)/100</f>
        <v>12</v>
      </c>
      <c r="N446" s="264"/>
    </row>
    <row r="447" spans="1:14" ht="12.75">
      <c r="A447" s="589" t="s">
        <v>76</v>
      </c>
      <c r="B447" s="591"/>
      <c r="C447" s="940"/>
      <c r="D447" s="50"/>
      <c r="E447" s="51">
        <v>0.04</v>
      </c>
      <c r="F447" s="52">
        <v>40</v>
      </c>
      <c r="G447" s="53">
        <v>49</v>
      </c>
      <c r="H447" s="145">
        <f>G447*E447</f>
        <v>1.96</v>
      </c>
      <c r="I447" s="455">
        <f>(F447*10.8)/100</f>
        <v>4.32</v>
      </c>
      <c r="J447" s="455">
        <f>(F447*1.3)/100</f>
        <v>0.52</v>
      </c>
      <c r="K447" s="455">
        <f>(F447*69.9)/100</f>
        <v>27.96</v>
      </c>
      <c r="L447" s="456">
        <f>(F447*334)/100</f>
        <v>133.6</v>
      </c>
      <c r="N447" s="264"/>
    </row>
    <row r="448" spans="1:14" ht="12.75">
      <c r="A448" s="589" t="s">
        <v>46</v>
      </c>
      <c r="B448" s="591"/>
      <c r="C448" s="940"/>
      <c r="D448" s="50"/>
      <c r="E448" s="717">
        <v>0.012</v>
      </c>
      <c r="F448" s="941">
        <v>10</v>
      </c>
      <c r="G448" s="342">
        <v>230</v>
      </c>
      <c r="H448" s="112">
        <f>E448*G448</f>
        <v>2.7600000000000002</v>
      </c>
      <c r="I448" s="258">
        <f>(12.7*F448)/100</f>
        <v>1.27</v>
      </c>
      <c r="J448" s="258">
        <f>(F448*11.5)/100</f>
        <v>1.15</v>
      </c>
      <c r="K448" s="258">
        <f>(F448*0.7)/100</f>
        <v>0.07</v>
      </c>
      <c r="L448" s="327">
        <f>(157*F448)/100</f>
        <v>15.7</v>
      </c>
      <c r="N448" s="264"/>
    </row>
    <row r="449" spans="1:14" ht="12.75">
      <c r="A449" s="589" t="s">
        <v>17</v>
      </c>
      <c r="B449" s="591"/>
      <c r="C449" s="591"/>
      <c r="D449" s="50"/>
      <c r="E449" s="51">
        <v>0.01</v>
      </c>
      <c r="F449" s="52">
        <v>10</v>
      </c>
      <c r="G449" s="53">
        <v>90</v>
      </c>
      <c r="H449" s="145">
        <f>G449*E449</f>
        <v>0.9</v>
      </c>
      <c r="I449" s="54"/>
      <c r="J449" s="54"/>
      <c r="K449" s="54">
        <f>(F449*99.8)/100</f>
        <v>9.98</v>
      </c>
      <c r="L449" s="55">
        <f>(F449*399)/100</f>
        <v>39.9</v>
      </c>
      <c r="N449" s="275"/>
    </row>
    <row r="450" spans="1:14" ht="12.75">
      <c r="A450" s="589" t="s">
        <v>133</v>
      </c>
      <c r="B450" s="591"/>
      <c r="C450" s="591"/>
      <c r="D450" s="50"/>
      <c r="E450" s="51">
        <v>0.035</v>
      </c>
      <c r="F450" s="52">
        <v>30</v>
      </c>
      <c r="G450" s="53">
        <v>110</v>
      </c>
      <c r="H450" s="145">
        <f>G450*E450</f>
        <v>3.8500000000000005</v>
      </c>
      <c r="I450" s="45">
        <f>(F450*7.2)/100</f>
        <v>2.16</v>
      </c>
      <c r="J450" s="45">
        <f>(F450*8.5)/100</f>
        <v>2.55</v>
      </c>
      <c r="K450" s="45">
        <f>(F450*55.5)/100</f>
        <v>16.65</v>
      </c>
      <c r="L450" s="46">
        <f>(F450*328)/100</f>
        <v>98.4</v>
      </c>
      <c r="M450" s="345"/>
      <c r="N450" s="264"/>
    </row>
    <row r="451" spans="1:14" ht="12.75">
      <c r="A451" s="68" t="s">
        <v>134</v>
      </c>
      <c r="B451" s="70"/>
      <c r="C451" s="70"/>
      <c r="D451" s="728"/>
      <c r="E451" s="760">
        <v>0.0005</v>
      </c>
      <c r="F451" s="78">
        <v>0.5</v>
      </c>
      <c r="G451" s="79">
        <v>1050</v>
      </c>
      <c r="H451" s="290">
        <f>G451*E451</f>
        <v>0.525</v>
      </c>
      <c r="I451" s="80"/>
      <c r="J451" s="80"/>
      <c r="K451" s="80"/>
      <c r="L451" s="81"/>
      <c r="M451" s="345"/>
      <c r="N451" s="313"/>
    </row>
    <row r="452" spans="1:14" ht="12.75">
      <c r="A452" s="1780" t="s">
        <v>49</v>
      </c>
      <c r="B452" s="1780"/>
      <c r="C452" s="1780"/>
      <c r="D452" s="637">
        <v>150</v>
      </c>
      <c r="E452" s="282"/>
      <c r="F452" s="282"/>
      <c r="G452" s="283"/>
      <c r="H452" s="284">
        <f>H453+H454</f>
        <v>1.214</v>
      </c>
      <c r="I452" s="285">
        <f>I454</f>
        <v>0</v>
      </c>
      <c r="J452" s="285">
        <f>J454</f>
        <v>0</v>
      </c>
      <c r="K452" s="285">
        <f>K454</f>
        <v>10.978</v>
      </c>
      <c r="L452" s="285">
        <f>L454</f>
        <v>43.89</v>
      </c>
      <c r="M452" s="345"/>
      <c r="N452" s="421"/>
    </row>
    <row r="453" spans="1:14" ht="12.75">
      <c r="A453" s="56" t="s">
        <v>20</v>
      </c>
      <c r="B453" s="221"/>
      <c r="C453" s="57"/>
      <c r="D453" s="638"/>
      <c r="E453" s="639">
        <v>0.0005</v>
      </c>
      <c r="F453" s="60">
        <v>0.5</v>
      </c>
      <c r="G453" s="61">
        <v>448</v>
      </c>
      <c r="H453" s="192">
        <f>E453*G453</f>
        <v>0.224</v>
      </c>
      <c r="I453" s="80"/>
      <c r="J453" s="80"/>
      <c r="K453" s="80"/>
      <c r="L453" s="81"/>
      <c r="M453" s="345"/>
      <c r="N453" s="466"/>
    </row>
    <row r="454" spans="1:14" ht="12.75">
      <c r="A454" s="429" t="s">
        <v>17</v>
      </c>
      <c r="B454" s="430"/>
      <c r="C454" s="430"/>
      <c r="D454" s="432"/>
      <c r="E454" s="562">
        <v>0.011</v>
      </c>
      <c r="F454" s="505">
        <v>11</v>
      </c>
      <c r="G454" s="214">
        <v>90</v>
      </c>
      <c r="H454" s="535">
        <f>E454*G454</f>
        <v>0.99</v>
      </c>
      <c r="I454" s="80"/>
      <c r="J454" s="80"/>
      <c r="K454" s="80">
        <f>(F454*99.8)/100</f>
        <v>10.978</v>
      </c>
      <c r="L454" s="81">
        <f>(F454*399)/100</f>
        <v>43.89</v>
      </c>
      <c r="M454" s="345"/>
      <c r="N454" s="275"/>
    </row>
    <row r="455" spans="1:14" ht="12.75">
      <c r="A455" s="1695" t="s">
        <v>133</v>
      </c>
      <c r="B455" s="1696"/>
      <c r="C455" s="1697"/>
      <c r="D455" s="1698">
        <v>100</v>
      </c>
      <c r="E455" s="1699">
        <v>0.11</v>
      </c>
      <c r="F455" s="1700">
        <v>100</v>
      </c>
      <c r="G455" s="1701">
        <v>110</v>
      </c>
      <c r="H455" s="1702">
        <f>G455*E455</f>
        <v>12.1</v>
      </c>
      <c r="I455" s="1703">
        <v>0.36</v>
      </c>
      <c r="J455" s="1704">
        <v>0.036000000000000004</v>
      </c>
      <c r="K455" s="1705">
        <v>8.82</v>
      </c>
      <c r="L455" s="1706">
        <v>42.3</v>
      </c>
      <c r="M455" s="26"/>
      <c r="N455" s="275"/>
    </row>
    <row r="456" spans="1:13" ht="12.75">
      <c r="A456" s="866"/>
      <c r="B456" s="618"/>
      <c r="C456" s="867"/>
      <c r="D456" s="868"/>
      <c r="E456" s="867"/>
      <c r="F456" s="867"/>
      <c r="G456" s="869"/>
      <c r="H456" s="869"/>
      <c r="I456" s="870"/>
      <c r="J456" s="870"/>
      <c r="K456" s="870"/>
      <c r="L456" s="871"/>
      <c r="M456" s="345"/>
    </row>
    <row r="457" spans="1:12" ht="12.75">
      <c r="A457" s="779" t="s">
        <v>51</v>
      </c>
      <c r="B457" s="780"/>
      <c r="C457" s="780"/>
      <c r="D457" s="629"/>
      <c r="E457" s="781">
        <v>0.01</v>
      </c>
      <c r="F457" s="430" t="s">
        <v>52</v>
      </c>
      <c r="G457" s="782">
        <v>20</v>
      </c>
      <c r="H457" s="630">
        <f>E457*G457</f>
        <v>0.2</v>
      </c>
      <c r="I457" s="872"/>
      <c r="J457" s="872"/>
      <c r="K457" s="872"/>
      <c r="L457" s="873"/>
    </row>
    <row r="458" spans="1:12" ht="12.75">
      <c r="A458" s="879" t="s">
        <v>24</v>
      </c>
      <c r="B458" s="881"/>
      <c r="C458" s="881"/>
      <c r="D458" s="882"/>
      <c r="E458" s="945"/>
      <c r="F458" s="945"/>
      <c r="G458" s="946"/>
      <c r="H458" s="883"/>
      <c r="I458" s="947">
        <f>I455+I452+I443</f>
        <v>8.69</v>
      </c>
      <c r="J458" s="947">
        <f>J455+J452+J443</f>
        <v>8.081000000000001</v>
      </c>
      <c r="K458" s="947">
        <f>K455+K452+K443</f>
        <v>75.45</v>
      </c>
      <c r="L458" s="947">
        <f>L455+L452+L443</f>
        <v>442.68</v>
      </c>
    </row>
    <row r="459" spans="1:12" ht="15.75">
      <c r="A459" s="779"/>
      <c r="B459" s="780"/>
      <c r="C459" s="780"/>
      <c r="D459" s="948"/>
      <c r="E459" s="949" t="s">
        <v>135</v>
      </c>
      <c r="F459" s="950"/>
      <c r="G459" s="951"/>
      <c r="H459" s="952">
        <f>H455+H452+H443</f>
        <v>26.336000000000002</v>
      </c>
      <c r="I459" s="953"/>
      <c r="J459" s="872"/>
      <c r="K459" s="872"/>
      <c r="L459" s="873">
        <f>L458/1400</f>
        <v>0.3162</v>
      </c>
    </row>
    <row r="460" spans="1:12" ht="12.75">
      <c r="A460" s="874"/>
      <c r="B460" s="431"/>
      <c r="C460" s="780"/>
      <c r="D460" s="629"/>
      <c r="E460" s="780"/>
      <c r="F460" s="780"/>
      <c r="G460" s="630"/>
      <c r="H460" s="630"/>
      <c r="I460" s="872"/>
      <c r="J460" s="872"/>
      <c r="K460" s="872"/>
      <c r="L460" s="875"/>
    </row>
    <row r="461" spans="1:12" ht="15.75">
      <c r="A461" s="785"/>
      <c r="B461" s="786"/>
      <c r="C461" s="787" t="s">
        <v>53</v>
      </c>
      <c r="D461" s="788"/>
      <c r="E461" s="786"/>
      <c r="F461" s="787"/>
      <c r="G461" s="789"/>
      <c r="H461" s="789">
        <f>H459+H438+H410+H401+H457</f>
        <v>119.141</v>
      </c>
      <c r="I461" s="876"/>
      <c r="J461" s="876"/>
      <c r="K461" s="876"/>
      <c r="L461" s="954"/>
    </row>
    <row r="462" spans="1:12" ht="12.75">
      <c r="A462" s="779"/>
      <c r="B462" s="431"/>
      <c r="C462" s="780"/>
      <c r="D462" s="629"/>
      <c r="E462" s="793"/>
      <c r="F462" s="430" t="s">
        <v>24</v>
      </c>
      <c r="G462" s="782"/>
      <c r="H462" s="630"/>
      <c r="I462" s="780"/>
      <c r="J462" s="629"/>
      <c r="K462" s="780"/>
      <c r="L462" s="794"/>
    </row>
    <row r="463" spans="1:12" ht="12.75">
      <c r="A463" s="879" t="s">
        <v>54</v>
      </c>
      <c r="B463" s="880"/>
      <c r="C463" s="881"/>
      <c r="D463" s="882"/>
      <c r="E463" s="881"/>
      <c r="F463" s="881"/>
      <c r="G463" s="883"/>
      <c r="H463" s="883"/>
      <c r="I463" s="955">
        <f>I458+I439+I408+I402</f>
        <v>40.025999999999996</v>
      </c>
      <c r="J463" s="955">
        <f>J458+J439+J408+J402</f>
        <v>34.778</v>
      </c>
      <c r="K463" s="955">
        <f>K458+K439+K408+K402</f>
        <v>195.36900000000003</v>
      </c>
      <c r="L463" s="955">
        <f>L458+L439+L408+L402</f>
        <v>1321.7</v>
      </c>
    </row>
    <row r="464" spans="1:12" ht="12.75">
      <c r="A464" s="634"/>
      <c r="B464" s="956"/>
      <c r="C464" s="634"/>
      <c r="D464" s="207"/>
      <c r="E464" s="634"/>
      <c r="F464" s="634"/>
      <c r="G464" s="210"/>
      <c r="H464" s="210"/>
      <c r="I464" s="634"/>
      <c r="J464" s="207"/>
      <c r="K464" s="634"/>
      <c r="L464" s="957">
        <f>L463/1400</f>
        <v>0.9440714285714286</v>
      </c>
    </row>
    <row r="465" spans="1:12" ht="12.75">
      <c r="A465" s="958"/>
      <c r="B465" s="959"/>
      <c r="C465" s="958"/>
      <c r="D465" s="960" t="s">
        <v>136</v>
      </c>
      <c r="E465" s="961"/>
      <c r="F465" s="961"/>
      <c r="G465" s="962"/>
      <c r="H465" s="962">
        <f>H461+H367+H274+H181+H71</f>
        <v>584.133</v>
      </c>
      <c r="I465" s="963">
        <f>I463+I369+I276+I183+I73</f>
        <v>232.072</v>
      </c>
      <c r="J465" s="963">
        <f>J463+J369+J276+J183+J73</f>
        <v>224.19399999999996</v>
      </c>
      <c r="K465" s="963">
        <f>K463+K369+K276+K183+K73</f>
        <v>808.5095</v>
      </c>
      <c r="L465" s="963">
        <f>L463+L369+L276+L183+L73</f>
        <v>6338.696000000001</v>
      </c>
    </row>
    <row r="466" spans="1:12" ht="12.75">
      <c r="A466" s="958"/>
      <c r="B466" s="959"/>
      <c r="C466" s="958"/>
      <c r="D466" s="964"/>
      <c r="E466" s="958"/>
      <c r="F466" s="958"/>
      <c r="G466" s="965"/>
      <c r="H466" s="965">
        <f>H465/5</f>
        <v>116.82660000000001</v>
      </c>
      <c r="I466" s="966"/>
      <c r="J466" s="966"/>
      <c r="K466" s="966"/>
      <c r="L466" s="966" t="s">
        <v>137</v>
      </c>
    </row>
    <row r="467" spans="1:12" ht="12.75">
      <c r="A467" s="958"/>
      <c r="B467" s="959"/>
      <c r="C467" s="958"/>
      <c r="D467" s="964"/>
      <c r="E467" s="958"/>
      <c r="F467" s="958"/>
      <c r="G467" s="965"/>
      <c r="H467" s="965"/>
      <c r="I467" s="966"/>
      <c r="J467" s="966"/>
      <c r="K467" s="966"/>
      <c r="L467" s="966"/>
    </row>
    <row r="468" spans="1:12" ht="12.75">
      <c r="A468" s="958"/>
      <c r="B468" s="959"/>
      <c r="C468" s="958"/>
      <c r="D468" s="964"/>
      <c r="E468" s="958"/>
      <c r="F468" s="958"/>
      <c r="G468" s="965"/>
      <c r="H468" s="965"/>
      <c r="I468" s="966"/>
      <c r="J468" s="966"/>
      <c r="K468" s="966"/>
      <c r="L468" s="966"/>
    </row>
    <row r="469" spans="1:12" ht="12.75">
      <c r="A469" s="958"/>
      <c r="B469" s="959"/>
      <c r="C469" s="958"/>
      <c r="D469" s="964"/>
      <c r="E469" s="958"/>
      <c r="F469" s="958"/>
      <c r="G469" s="965"/>
      <c r="H469" s="965"/>
      <c r="I469" s="966"/>
      <c r="J469" s="966"/>
      <c r="K469" s="966"/>
      <c r="L469" s="966"/>
    </row>
    <row r="470" spans="1:12" ht="12.75">
      <c r="A470" s="958"/>
      <c r="B470" s="959"/>
      <c r="C470" s="958"/>
      <c r="D470" s="964"/>
      <c r="E470" s="958"/>
      <c r="F470" s="958"/>
      <c r="G470" s="965"/>
      <c r="H470" s="965"/>
      <c r="I470" s="966"/>
      <c r="J470" s="966"/>
      <c r="K470" s="966"/>
      <c r="L470" s="966"/>
    </row>
    <row r="471" spans="1:12" ht="12.75">
      <c r="A471" s="618"/>
      <c r="B471" s="1263"/>
      <c r="C471" s="1263"/>
      <c r="D471" s="1444"/>
      <c r="E471" s="618"/>
      <c r="F471" s="618"/>
      <c r="G471" s="618"/>
      <c r="H471" s="618"/>
      <c r="I471" s="618"/>
      <c r="J471" s="618"/>
      <c r="K471" s="618"/>
      <c r="L471" s="618"/>
    </row>
    <row r="472" spans="1:12" ht="15">
      <c r="A472" s="798"/>
      <c r="B472" s="1291"/>
      <c r="C472" s="1291"/>
      <c r="D472" s="1445"/>
      <c r="E472" s="798"/>
      <c r="F472" s="798"/>
      <c r="G472" s="799"/>
      <c r="H472" s="799"/>
      <c r="I472" s="886" t="s">
        <v>138</v>
      </c>
      <c r="J472" s="796"/>
      <c r="K472" s="618"/>
      <c r="L472" s="796"/>
    </row>
    <row r="473" spans="1:12" ht="12.75">
      <c r="A473" s="618"/>
      <c r="B473" s="618"/>
      <c r="C473" s="618"/>
      <c r="D473" s="619" t="s">
        <v>231</v>
      </c>
      <c r="E473" s="618"/>
      <c r="F473" s="618"/>
      <c r="G473" s="620"/>
      <c r="H473" s="620"/>
      <c r="I473" s="618"/>
      <c r="J473" s="796"/>
      <c r="K473" s="618"/>
      <c r="L473" s="796"/>
    </row>
    <row r="474" spans="1:12" ht="25.5">
      <c r="A474" s="1787" t="s">
        <v>2</v>
      </c>
      <c r="B474" s="1787"/>
      <c r="C474" s="1787"/>
      <c r="D474" s="622" t="s">
        <v>3</v>
      </c>
      <c r="E474" s="623" t="s">
        <v>4</v>
      </c>
      <c r="F474" s="623" t="s">
        <v>5</v>
      </c>
      <c r="G474" s="624" t="s">
        <v>6</v>
      </c>
      <c r="H474" s="625" t="s">
        <v>56</v>
      </c>
      <c r="I474" s="623" t="s">
        <v>8</v>
      </c>
      <c r="J474" s="623" t="s">
        <v>9</v>
      </c>
      <c r="K474" s="801" t="s">
        <v>10</v>
      </c>
      <c r="L474" s="623" t="s">
        <v>11</v>
      </c>
    </row>
    <row r="475" spans="1:12" ht="12.75">
      <c r="A475" s="1787"/>
      <c r="B475" s="1787"/>
      <c r="C475" s="1787"/>
      <c r="D475" s="628"/>
      <c r="E475" s="629"/>
      <c r="F475" s="629"/>
      <c r="G475" s="630"/>
      <c r="H475" s="630"/>
      <c r="I475" s="629" t="s">
        <v>12</v>
      </c>
      <c r="J475" s="629"/>
      <c r="K475" s="629"/>
      <c r="L475" s="802"/>
    </row>
    <row r="476" spans="1:12" ht="12.75">
      <c r="A476" s="803"/>
      <c r="B476" s="803"/>
      <c r="C476" s="803"/>
      <c r="D476" s="207"/>
      <c r="E476" s="207"/>
      <c r="F476" s="207"/>
      <c r="G476" s="210"/>
      <c r="H476" s="210"/>
      <c r="I476" s="207"/>
      <c r="J476" s="207"/>
      <c r="K476" s="207"/>
      <c r="L476" s="207"/>
    </row>
    <row r="477" spans="1:12" ht="12.75">
      <c r="A477" s="634" t="s">
        <v>57</v>
      </c>
      <c r="B477" s="633">
        <v>0.3333333333333333</v>
      </c>
      <c r="C477" s="634"/>
      <c r="D477" s="207"/>
      <c r="E477" s="634"/>
      <c r="F477" s="634"/>
      <c r="G477" s="210"/>
      <c r="H477" s="210"/>
      <c r="I477" s="207"/>
      <c r="J477" s="207"/>
      <c r="K477" s="634"/>
      <c r="L477" s="207"/>
    </row>
    <row r="478" spans="1:12" ht="12.75">
      <c r="A478" s="1780" t="s">
        <v>249</v>
      </c>
      <c r="B478" s="1780"/>
      <c r="C478" s="1780"/>
      <c r="D478" s="281">
        <v>150</v>
      </c>
      <c r="E478" s="282"/>
      <c r="F478" s="282"/>
      <c r="G478" s="283"/>
      <c r="H478" s="284">
        <f>H479+H480+H481+H482</f>
        <v>12.704999999999998</v>
      </c>
      <c r="I478" s="285">
        <f>I479+I480+I481+I482</f>
        <v>4.86</v>
      </c>
      <c r="J478" s="285">
        <f>J479+J480+J481+J482</f>
        <v>6.300000000000001</v>
      </c>
      <c r="K478" s="285">
        <f>K479+K480+K481+K482</f>
        <v>20.39</v>
      </c>
      <c r="L478" s="285">
        <f>L479+L480+L481+L482</f>
        <v>166.4</v>
      </c>
    </row>
    <row r="479" spans="1:14" ht="12.75">
      <c r="A479" s="56" t="s">
        <v>18</v>
      </c>
      <c r="B479" s="57"/>
      <c r="C479" s="57"/>
      <c r="D479" s="58"/>
      <c r="E479" s="59">
        <v>0.13</v>
      </c>
      <c r="F479" s="60">
        <v>130</v>
      </c>
      <c r="G479" s="61">
        <v>72</v>
      </c>
      <c r="H479" s="62">
        <f>E479*G479</f>
        <v>9.36</v>
      </c>
      <c r="I479" s="916">
        <f>(2.9*F479)/100</f>
        <v>3.77</v>
      </c>
      <c r="J479" s="916">
        <f>(F479*2.5)/100</f>
        <v>3.25</v>
      </c>
      <c r="K479" s="916">
        <f>(4.8*F479)/100</f>
        <v>6.24</v>
      </c>
      <c r="L479" s="917">
        <f>(F479*60)/100</f>
        <v>78</v>
      </c>
      <c r="N479" s="986"/>
    </row>
    <row r="480" spans="1:12" ht="12.75">
      <c r="A480" s="429" t="s">
        <v>16</v>
      </c>
      <c r="B480" s="430"/>
      <c r="C480" s="430"/>
      <c r="D480" s="432"/>
      <c r="E480" s="433">
        <v>0.004</v>
      </c>
      <c r="F480" s="434">
        <v>4</v>
      </c>
      <c r="G480" s="32">
        <v>300</v>
      </c>
      <c r="H480" s="33">
        <f>E480*G480</f>
        <v>1.2</v>
      </c>
      <c r="I480" s="45">
        <f>(F480*1)/100</f>
        <v>0.04</v>
      </c>
      <c r="J480" s="45">
        <f>(F480*72.5)/100</f>
        <v>2.9</v>
      </c>
      <c r="K480" s="45">
        <f>(F480*1.4)/100</f>
        <v>0.055999999999999994</v>
      </c>
      <c r="L480" s="46">
        <f>(F480*662)/100</f>
        <v>26.48</v>
      </c>
    </row>
    <row r="481" spans="1:12" ht="12.75">
      <c r="A481" s="340" t="s">
        <v>250</v>
      </c>
      <c r="B481" s="341"/>
      <c r="C481" s="341"/>
      <c r="D481" s="517"/>
      <c r="E481" s="77">
        <v>0.015</v>
      </c>
      <c r="F481" s="78">
        <v>15</v>
      </c>
      <c r="G481" s="79">
        <v>125</v>
      </c>
      <c r="H481" s="290">
        <f>G481*E481</f>
        <v>1.875</v>
      </c>
      <c r="I481" s="258">
        <f>(F481*7)/100</f>
        <v>1.05</v>
      </c>
      <c r="J481" s="258">
        <f>(F481*1)/100</f>
        <v>0.15</v>
      </c>
      <c r="K481" s="258">
        <f>(74*F481)/100</f>
        <v>11.1</v>
      </c>
      <c r="L481" s="327">
        <f>(F481*333)/100</f>
        <v>49.95</v>
      </c>
    </row>
    <row r="482" spans="1:12" ht="12.75">
      <c r="A482" s="804" t="s">
        <v>17</v>
      </c>
      <c r="B482" s="805"/>
      <c r="C482" s="806"/>
      <c r="D482" s="807"/>
      <c r="E482" s="544">
        <v>0.003</v>
      </c>
      <c r="F482" s="545">
        <v>3</v>
      </c>
      <c r="G482" s="546">
        <v>90</v>
      </c>
      <c r="H482" s="62">
        <f>E482*G482</f>
        <v>0.27</v>
      </c>
      <c r="I482" s="80"/>
      <c r="J482" s="80"/>
      <c r="K482" s="80">
        <f>(F482*99.8)/100</f>
        <v>2.9939999999999998</v>
      </c>
      <c r="L482" s="81">
        <f>(F482*399)/100</f>
        <v>11.97</v>
      </c>
    </row>
    <row r="483" spans="1:12" ht="12.75">
      <c r="A483" s="1773" t="s">
        <v>139</v>
      </c>
      <c r="B483" s="1773"/>
      <c r="C483" s="1773"/>
      <c r="D483" s="65">
        <v>150</v>
      </c>
      <c r="E483" s="66"/>
      <c r="F483" s="21"/>
      <c r="G483" s="22"/>
      <c r="H483" s="23">
        <f>H484+H486+H485</f>
        <v>1.214</v>
      </c>
      <c r="I483" s="67">
        <f>I484+I486+I485</f>
        <v>0</v>
      </c>
      <c r="J483" s="67">
        <f>J484+J486+J485</f>
        <v>0</v>
      </c>
      <c r="K483" s="67">
        <f>K484+K486+K485</f>
        <v>10.978</v>
      </c>
      <c r="L483" s="67">
        <f>L484+L486+L485</f>
        <v>43.89</v>
      </c>
    </row>
    <row r="484" spans="1:12" ht="12.75">
      <c r="A484" s="68" t="s">
        <v>20</v>
      </c>
      <c r="B484" s="69"/>
      <c r="C484" s="70"/>
      <c r="D484" s="71"/>
      <c r="E484" s="454">
        <v>0.0005</v>
      </c>
      <c r="F484" s="73">
        <v>0.5</v>
      </c>
      <c r="G484" s="74">
        <v>448</v>
      </c>
      <c r="H484" s="74">
        <f>E484*G484</f>
        <v>0.224</v>
      </c>
      <c r="I484" s="75"/>
      <c r="J484" s="75"/>
      <c r="K484" s="75"/>
      <c r="L484" s="76"/>
    </row>
    <row r="485" spans="1:12" ht="12.75">
      <c r="A485" s="68" t="s">
        <v>17</v>
      </c>
      <c r="B485" s="69"/>
      <c r="C485" s="70"/>
      <c r="D485" s="71"/>
      <c r="E485" s="77">
        <v>0.011</v>
      </c>
      <c r="F485" s="78">
        <v>11</v>
      </c>
      <c r="G485" s="79">
        <v>90</v>
      </c>
      <c r="H485" s="79">
        <f>G485*E485</f>
        <v>0.99</v>
      </c>
      <c r="I485" s="80"/>
      <c r="J485" s="80"/>
      <c r="K485" s="80">
        <f>(F485*99.8)/100</f>
        <v>10.978</v>
      </c>
      <c r="L485" s="81">
        <f>(F485*399)/100</f>
        <v>43.89</v>
      </c>
    </row>
    <row r="486" spans="1:12" ht="12.75">
      <c r="A486" s="37"/>
      <c r="B486" s="38"/>
      <c r="C486" s="39"/>
      <c r="D486" s="71"/>
      <c r="E486" s="82"/>
      <c r="F486" s="83"/>
      <c r="G486" s="84"/>
      <c r="H486" s="84"/>
      <c r="I486" s="358"/>
      <c r="J486" s="358"/>
      <c r="K486" s="358"/>
      <c r="L486" s="359"/>
    </row>
    <row r="487" spans="1:12" ht="12.75">
      <c r="A487" s="1774" t="s">
        <v>21</v>
      </c>
      <c r="B487" s="1774"/>
      <c r="C487" s="1774"/>
      <c r="D487" s="88" t="s">
        <v>22</v>
      </c>
      <c r="E487" s="89">
        <v>0.02</v>
      </c>
      <c r="F487" s="90">
        <v>20</v>
      </c>
      <c r="G487" s="91">
        <v>91</v>
      </c>
      <c r="H487" s="92">
        <f>E487*G487</f>
        <v>1.82</v>
      </c>
      <c r="I487" s="93">
        <f>(7.5*F487)/100</f>
        <v>1.5</v>
      </c>
      <c r="J487" s="93">
        <f>(9.8*F487)/100</f>
        <v>1.96</v>
      </c>
      <c r="K487" s="93">
        <f>(74.4*F487)/100</f>
        <v>14.88</v>
      </c>
      <c r="L487" s="94">
        <f>(417*F487)/100</f>
        <v>83.4</v>
      </c>
    </row>
    <row r="488" spans="1:12" ht="12.75">
      <c r="A488" s="1797"/>
      <c r="B488" s="1797"/>
      <c r="C488" s="1797"/>
      <c r="D488" s="1797"/>
      <c r="E488" s="77"/>
      <c r="F488" s="78"/>
      <c r="G488" s="79"/>
      <c r="H488" s="987"/>
      <c r="I488" s="521"/>
      <c r="J488" s="521"/>
      <c r="K488" s="521"/>
      <c r="L488" s="889"/>
    </row>
    <row r="489" spans="1:12" ht="12.75">
      <c r="A489" s="56"/>
      <c r="B489" s="57"/>
      <c r="C489" s="57"/>
      <c r="D489" s="208"/>
      <c r="E489" s="208"/>
      <c r="F489" s="208"/>
      <c r="G489" s="209"/>
      <c r="H489" s="209"/>
      <c r="I489" s="223"/>
      <c r="J489" s="223"/>
      <c r="K489" s="223"/>
      <c r="L489" s="732"/>
    </row>
    <row r="490" spans="1:12" ht="15.75">
      <c r="A490" s="656" t="s">
        <v>23</v>
      </c>
      <c r="B490" s="657"/>
      <c r="C490" s="657"/>
      <c r="D490" s="658"/>
      <c r="E490" s="659"/>
      <c r="F490" s="658"/>
      <c r="G490" s="660"/>
      <c r="H490" s="660">
        <f>H487+H483+H478</f>
        <v>15.738999999999997</v>
      </c>
      <c r="I490" s="661"/>
      <c r="J490" s="661"/>
      <c r="K490" s="662"/>
      <c r="L490" s="663"/>
    </row>
    <row r="491" spans="1:12" ht="12.75">
      <c r="A491" s="1798" t="s">
        <v>24</v>
      </c>
      <c r="B491" s="1798"/>
      <c r="C491" s="1798"/>
      <c r="D491" s="1798"/>
      <c r="E491" s="988"/>
      <c r="F491" s="989"/>
      <c r="G491" s="990"/>
      <c r="H491" s="990"/>
      <c r="I491" s="991">
        <f>I488+I487+I483+I478</f>
        <v>6.36</v>
      </c>
      <c r="J491" s="991">
        <f>J488+J487+J483+J478</f>
        <v>8.260000000000002</v>
      </c>
      <c r="K491" s="991">
        <f>K488+K487+K483+K478</f>
        <v>46.248000000000005</v>
      </c>
      <c r="L491" s="992">
        <f>L488+L487+L483+L478</f>
        <v>293.69</v>
      </c>
    </row>
    <row r="492" spans="1:12" ht="12.75">
      <c r="A492" s="206"/>
      <c r="B492" s="206"/>
      <c r="C492" s="206"/>
      <c r="D492" s="207"/>
      <c r="E492" s="671"/>
      <c r="F492" s="207"/>
      <c r="G492" s="210"/>
      <c r="H492" s="210"/>
      <c r="I492" s="211"/>
      <c r="J492" s="211"/>
      <c r="K492" s="672"/>
      <c r="L492" s="672">
        <f>L491/1400</f>
        <v>0.20977857142857143</v>
      </c>
    </row>
    <row r="493" spans="1:12" ht="12.75">
      <c r="A493" s="1790" t="s">
        <v>140</v>
      </c>
      <c r="B493" s="1790"/>
      <c r="C493" s="1790"/>
      <c r="D493" s="208"/>
      <c r="E493" s="208"/>
      <c r="F493" s="208"/>
      <c r="G493" s="209"/>
      <c r="H493" s="209"/>
      <c r="I493" s="211"/>
      <c r="J493" s="223"/>
      <c r="K493" s="673"/>
      <c r="L493" s="223"/>
    </row>
    <row r="494" spans="1:12" ht="12.75">
      <c r="A494" s="1776" t="s">
        <v>26</v>
      </c>
      <c r="B494" s="1776"/>
      <c r="C494" s="1776"/>
      <c r="D494" s="103">
        <v>100</v>
      </c>
      <c r="E494" s="104"/>
      <c r="F494" s="104"/>
      <c r="G494" s="105"/>
      <c r="H494" s="106">
        <f>H495</f>
        <v>7</v>
      </c>
      <c r="I494" s="139"/>
      <c r="J494" s="140">
        <f>J495</f>
        <v>0</v>
      </c>
      <c r="K494" s="140">
        <f>K495</f>
        <v>10.1</v>
      </c>
      <c r="L494" s="140">
        <f>L495</f>
        <v>46</v>
      </c>
    </row>
    <row r="495" spans="1:12" ht="12.75">
      <c r="A495" s="1777"/>
      <c r="B495" s="1777"/>
      <c r="C495" s="1777"/>
      <c r="D495" s="109"/>
      <c r="E495" s="110">
        <v>0.1</v>
      </c>
      <c r="F495" s="111">
        <v>100</v>
      </c>
      <c r="G495" s="112">
        <v>70</v>
      </c>
      <c r="H495" s="113">
        <f>E495*G495</f>
        <v>7</v>
      </c>
      <c r="I495" s="143"/>
      <c r="J495" s="143"/>
      <c r="K495" s="143">
        <f>(10.1*F495)/100</f>
        <v>10.1</v>
      </c>
      <c r="L495" s="146">
        <f>(F495*46)/100</f>
        <v>46</v>
      </c>
    </row>
    <row r="496" spans="1:12" ht="12.75">
      <c r="A496" s="993"/>
      <c r="B496" s="206"/>
      <c r="C496" s="206"/>
      <c r="D496" s="207"/>
      <c r="E496" s="994"/>
      <c r="F496" s="208"/>
      <c r="G496" s="209"/>
      <c r="H496" s="224"/>
      <c r="I496" s="223"/>
      <c r="J496" s="223"/>
      <c r="K496" s="223"/>
      <c r="L496" s="865"/>
    </row>
    <row r="497" spans="1:12" ht="15.75">
      <c r="A497" s="674" t="s">
        <v>27</v>
      </c>
      <c r="B497" s="675"/>
      <c r="C497" s="676"/>
      <c r="D497" s="677"/>
      <c r="E497" s="677"/>
      <c r="F497" s="677"/>
      <c r="G497" s="678"/>
      <c r="H497" s="679">
        <f>H494</f>
        <v>7</v>
      </c>
      <c r="I497" s="680"/>
      <c r="J497" s="680"/>
      <c r="K497" s="680"/>
      <c r="L497" s="737"/>
    </row>
    <row r="498" spans="1:12" ht="12.75">
      <c r="A498" s="682"/>
      <c r="B498" s="683" t="s">
        <v>24</v>
      </c>
      <c r="C498" s="683"/>
      <c r="D498" s="667"/>
      <c r="E498" s="667"/>
      <c r="F498" s="667"/>
      <c r="G498" s="669"/>
      <c r="H498" s="669"/>
      <c r="I498" s="684">
        <f>I494</f>
        <v>0</v>
      </c>
      <c r="J498" s="684">
        <f>J494</f>
        <v>0</v>
      </c>
      <c r="K498" s="684">
        <f>K494</f>
        <v>10.1</v>
      </c>
      <c r="L498" s="685">
        <f>L494</f>
        <v>46</v>
      </c>
    </row>
    <row r="499" spans="1:12" ht="15">
      <c r="A499" s="995" t="s">
        <v>67</v>
      </c>
      <c r="B499" s="996"/>
      <c r="C499" s="823"/>
      <c r="D499" s="824"/>
      <c r="E499" s="824"/>
      <c r="F499" s="824"/>
      <c r="G499" s="825"/>
      <c r="H499" s="825"/>
      <c r="I499" s="997"/>
      <c r="J499" s="997"/>
      <c r="K499" s="998"/>
      <c r="L499" s="828">
        <f>L495/1800</f>
        <v>0.025555555555555557</v>
      </c>
    </row>
    <row r="500" spans="1:14" ht="15">
      <c r="A500" s="995"/>
      <c r="B500" s="996"/>
      <c r="C500" s="823"/>
      <c r="D500" s="824"/>
      <c r="E500" s="824"/>
      <c r="F500" s="824"/>
      <c r="G500" s="825"/>
      <c r="H500" s="825"/>
      <c r="I500" s="997"/>
      <c r="J500" s="997"/>
      <c r="K500" s="998"/>
      <c r="L500" s="828"/>
      <c r="M500" s="345"/>
      <c r="N500" s="345"/>
    </row>
    <row r="501" spans="1:14" ht="12.75">
      <c r="A501" s="1773" t="s">
        <v>141</v>
      </c>
      <c r="B501" s="1773"/>
      <c r="C501" s="1773"/>
      <c r="D501" s="181" t="s">
        <v>244</v>
      </c>
      <c r="E501" s="184"/>
      <c r="F501" s="185"/>
      <c r="G501" s="22"/>
      <c r="H501" s="23">
        <f>SUM(H502:H509)</f>
        <v>8.937999999999999</v>
      </c>
      <c r="I501" s="186">
        <f>I502+I503+I504+I505+I506+I507+I508+I509</f>
        <v>1.8220000000000003</v>
      </c>
      <c r="J501" s="186">
        <f>SUM(J502:J509)</f>
        <v>2.706</v>
      </c>
      <c r="K501" s="186">
        <f>SUM(K502:K509)</f>
        <v>12.096000000000002</v>
      </c>
      <c r="L501" s="67">
        <f>SUM(L502:L509)</f>
        <v>80.67</v>
      </c>
      <c r="M501" s="345"/>
      <c r="N501" s="1446"/>
    </row>
    <row r="502" spans="1:14" ht="12.75">
      <c r="A502" s="187" t="s">
        <v>30</v>
      </c>
      <c r="B502" s="188"/>
      <c r="C502" s="188"/>
      <c r="D502" s="189"/>
      <c r="E502" s="190"/>
      <c r="F502" s="191"/>
      <c r="G502" s="192"/>
      <c r="H502" s="193"/>
      <c r="I502" s="194"/>
      <c r="J502" s="194"/>
      <c r="K502" s="194"/>
      <c r="L502" s="195"/>
      <c r="M502" s="345"/>
      <c r="N502" s="275"/>
    </row>
    <row r="503" spans="1:14" ht="12.75">
      <c r="A503" s="196" t="s">
        <v>16</v>
      </c>
      <c r="B503" s="197"/>
      <c r="C503" s="197"/>
      <c r="D503" s="1447"/>
      <c r="E503" s="199">
        <v>0.002</v>
      </c>
      <c r="F503" s="194">
        <v>2</v>
      </c>
      <c r="G503" s="200">
        <v>300</v>
      </c>
      <c r="H503" s="201">
        <f>E503*G503</f>
        <v>0.6</v>
      </c>
      <c r="I503" s="45">
        <f>(F503*1)/100</f>
        <v>0.02</v>
      </c>
      <c r="J503" s="45">
        <f>(F503*72.5)/100</f>
        <v>1.45</v>
      </c>
      <c r="K503" s="45">
        <f>(F503*1.4)/100</f>
        <v>0.027999999999999997</v>
      </c>
      <c r="L503" s="46">
        <f>(F503*662)/100</f>
        <v>13.24</v>
      </c>
      <c r="M503" s="345"/>
      <c r="N503" s="275"/>
    </row>
    <row r="504" spans="1:14" ht="12.75">
      <c r="A504" s="999" t="s">
        <v>72</v>
      </c>
      <c r="B504" s="1000"/>
      <c r="C504" s="1000"/>
      <c r="D504" s="1072"/>
      <c r="E504" s="1001">
        <v>0.005</v>
      </c>
      <c r="F504" s="1002">
        <v>5</v>
      </c>
      <c r="G504" s="201">
        <v>156</v>
      </c>
      <c r="H504" s="201">
        <f>E504*G504</f>
        <v>0.78</v>
      </c>
      <c r="I504" s="834">
        <f>(2.5*F504)/100</f>
        <v>0.125</v>
      </c>
      <c r="J504" s="834">
        <f>(20*F504)/100</f>
        <v>1</v>
      </c>
      <c r="K504" s="834">
        <f>(3.4*F504)/100</f>
        <v>0.17</v>
      </c>
      <c r="L504" s="220">
        <f>(206*F504)/100</f>
        <v>10.3</v>
      </c>
      <c r="M504" s="345"/>
      <c r="N504" s="275"/>
    </row>
    <row r="505" spans="1:14" ht="12.75">
      <c r="A505" s="68" t="s">
        <v>142</v>
      </c>
      <c r="B505" s="70"/>
      <c r="C505" s="70"/>
      <c r="D505" s="1448"/>
      <c r="E505" s="199">
        <v>0.007</v>
      </c>
      <c r="F505" s="194">
        <v>7</v>
      </c>
      <c r="G505" s="200">
        <v>34</v>
      </c>
      <c r="H505" s="201">
        <f>E505*G505</f>
        <v>0.23800000000000002</v>
      </c>
      <c r="I505" s="194">
        <f>(9.3*F505)/100</f>
        <v>0.6510000000000001</v>
      </c>
      <c r="J505" s="194">
        <f>(F505*1.1)/100</f>
        <v>0.07700000000000001</v>
      </c>
      <c r="K505" s="194">
        <f>(F505*66.9)/100</f>
        <v>4.683000000000001</v>
      </c>
      <c r="L505" s="203">
        <f>(315*F505)/100</f>
        <v>22.05</v>
      </c>
      <c r="M505" s="345"/>
      <c r="N505" s="275"/>
    </row>
    <row r="506" spans="1:14" ht="12.75">
      <c r="A506" s="68" t="s">
        <v>32</v>
      </c>
      <c r="B506" s="70"/>
      <c r="C506" s="70"/>
      <c r="D506" s="1448"/>
      <c r="E506" s="199">
        <v>0.05</v>
      </c>
      <c r="F506" s="194">
        <v>36</v>
      </c>
      <c r="G506" s="200">
        <v>56</v>
      </c>
      <c r="H506" s="201">
        <f>E506*G506</f>
        <v>2.8000000000000003</v>
      </c>
      <c r="I506" s="204">
        <f>(F506*2)/100</f>
        <v>0.72</v>
      </c>
      <c r="J506" s="204">
        <f>(F506*0.4)/100</f>
        <v>0.14400000000000002</v>
      </c>
      <c r="K506" s="204">
        <f>(F506*16.3)/100</f>
        <v>5.868</v>
      </c>
      <c r="L506" s="205">
        <f>(F506*77)/100</f>
        <v>27.72</v>
      </c>
      <c r="M506" s="345"/>
      <c r="N506" s="275"/>
    </row>
    <row r="507" spans="1:14" ht="12.75">
      <c r="A507" s="196" t="s">
        <v>33</v>
      </c>
      <c r="B507" s="197"/>
      <c r="C507" s="197"/>
      <c r="D507" s="1447"/>
      <c r="E507" s="212">
        <v>0.01</v>
      </c>
      <c r="F507" s="213">
        <v>7</v>
      </c>
      <c r="G507" s="214">
        <v>63</v>
      </c>
      <c r="H507" s="215">
        <f>E507*G507</f>
        <v>0.63</v>
      </c>
      <c r="I507" s="213">
        <f>(F507*1.4)/100</f>
        <v>0.09799999999999999</v>
      </c>
      <c r="J507" s="213">
        <f>(F507*0.2)/100</f>
        <v>0.014000000000000002</v>
      </c>
      <c r="K507" s="213">
        <f>(F507*8.2)/100</f>
        <v>0.574</v>
      </c>
      <c r="L507" s="216">
        <f>(F507*41)/100</f>
        <v>2.87</v>
      </c>
      <c r="M507" s="345"/>
      <c r="N507" s="275"/>
    </row>
    <row r="508" spans="1:14" ht="12.75">
      <c r="A508" s="217" t="s">
        <v>34</v>
      </c>
      <c r="B508" s="218"/>
      <c r="C508" s="218"/>
      <c r="D508" s="1449"/>
      <c r="E508" s="212">
        <v>0.011</v>
      </c>
      <c r="F508" s="213">
        <v>8</v>
      </c>
      <c r="G508" s="214">
        <v>70</v>
      </c>
      <c r="H508" s="215">
        <f>G508*E508</f>
        <v>0.7699999999999999</v>
      </c>
      <c r="I508" s="213">
        <f>(F508*1.3)/100</f>
        <v>0.10400000000000001</v>
      </c>
      <c r="J508" s="213">
        <f>(F508*0.1)/100</f>
        <v>0.008</v>
      </c>
      <c r="K508" s="213">
        <f>(F508*6.9)/100</f>
        <v>0.552</v>
      </c>
      <c r="L508" s="220">
        <f>(F508*35)/100</f>
        <v>2.8</v>
      </c>
      <c r="M508" s="345"/>
      <c r="N508" s="275"/>
    </row>
    <row r="509" spans="1:14" ht="12.75">
      <c r="A509" s="523" t="s">
        <v>143</v>
      </c>
      <c r="B509" s="764"/>
      <c r="C509" s="764"/>
      <c r="D509" s="1450"/>
      <c r="E509" s="1451">
        <v>0.02</v>
      </c>
      <c r="F509" s="749">
        <v>13</v>
      </c>
      <c r="G509" s="1409">
        <v>156</v>
      </c>
      <c r="H509" s="1452">
        <f>E509*G509</f>
        <v>3.12</v>
      </c>
      <c r="I509" s="1012">
        <f>(0.8*F509)/100</f>
        <v>0.10400000000000001</v>
      </c>
      <c r="J509" s="1012">
        <f>(0.1*F509)/100</f>
        <v>0.013000000000000001</v>
      </c>
      <c r="K509" s="1012">
        <f>(1.7*F509)/100</f>
        <v>0.221</v>
      </c>
      <c r="L509" s="1013">
        <f>(13*F509)/100</f>
        <v>1.69</v>
      </c>
      <c r="M509" s="1011"/>
      <c r="N509" s="275"/>
    </row>
    <row r="510" spans="1:14" ht="12.75" customHeight="1">
      <c r="A510" s="1799" t="s">
        <v>144</v>
      </c>
      <c r="B510" s="1799"/>
      <c r="C510" s="1799"/>
      <c r="D510" s="234">
        <v>150</v>
      </c>
      <c r="E510" s="647"/>
      <c r="F510" s="648"/>
      <c r="G510" s="91"/>
      <c r="H510" s="1009">
        <f>SUM(H511:H519)</f>
        <v>55.402</v>
      </c>
      <c r="I510" s="1010">
        <f>SUM(I511:I519)</f>
        <v>21.480999999999998</v>
      </c>
      <c r="J510" s="1010">
        <f>SUM(J511:J519)</f>
        <v>22.456</v>
      </c>
      <c r="K510" s="1010">
        <f>SUM(K511:K519)</f>
        <v>27.395</v>
      </c>
      <c r="L510" s="1010">
        <f>SUM(L511:L519)</f>
        <v>400.46000000000004</v>
      </c>
      <c r="M510" s="1011"/>
      <c r="N510" s="275"/>
    </row>
    <row r="511" spans="1:14" ht="12.75">
      <c r="A511" s="248" t="s">
        <v>16</v>
      </c>
      <c r="B511" s="249"/>
      <c r="C511" s="250"/>
      <c r="D511" s="251"/>
      <c r="E511" s="252">
        <v>0.003</v>
      </c>
      <c r="F511" s="253">
        <v>3</v>
      </c>
      <c r="G511" s="254">
        <v>300</v>
      </c>
      <c r="H511" s="255">
        <f aca="true" t="shared" si="2" ref="H511:H516">E511*G511</f>
        <v>0.9</v>
      </c>
      <c r="I511" s="45">
        <f>(F511*1)/100</f>
        <v>0.03</v>
      </c>
      <c r="J511" s="45">
        <f>(F511*72.5)/100</f>
        <v>2.175</v>
      </c>
      <c r="K511" s="45">
        <f>(F511*1.4)/100</f>
        <v>0.041999999999999996</v>
      </c>
      <c r="L511" s="46">
        <f>(F511*662)/100</f>
        <v>19.86</v>
      </c>
      <c r="M511" s="1011"/>
      <c r="N511" s="275"/>
    </row>
    <row r="512" spans="1:14" ht="12.75">
      <c r="A512" s="248" t="s">
        <v>37</v>
      </c>
      <c r="B512" s="250"/>
      <c r="C512" s="250"/>
      <c r="D512" s="251"/>
      <c r="E512" s="51">
        <v>0.003</v>
      </c>
      <c r="F512" s="256">
        <v>3</v>
      </c>
      <c r="G512" s="53">
        <v>129</v>
      </c>
      <c r="H512" s="144">
        <f t="shared" si="2"/>
        <v>0.387</v>
      </c>
      <c r="I512" s="257"/>
      <c r="J512" s="258">
        <f>(F512*99.9)/100</f>
        <v>2.9970000000000003</v>
      </c>
      <c r="K512" s="54"/>
      <c r="L512" s="259">
        <f>(F512*899)/100</f>
        <v>26.97</v>
      </c>
      <c r="M512" s="1011"/>
      <c r="N512" s="275"/>
    </row>
    <row r="513" spans="1:14" ht="12.75">
      <c r="A513" s="999" t="s">
        <v>72</v>
      </c>
      <c r="B513" s="1000"/>
      <c r="C513" s="1000"/>
      <c r="D513" s="289"/>
      <c r="E513" s="1001">
        <v>0.01</v>
      </c>
      <c r="F513" s="1002">
        <v>10</v>
      </c>
      <c r="G513" s="201">
        <v>156</v>
      </c>
      <c r="H513" s="201">
        <f t="shared" si="2"/>
        <v>1.56</v>
      </c>
      <c r="I513" s="834">
        <f>(2.5*F513)/100</f>
        <v>0.25</v>
      </c>
      <c r="J513" s="834">
        <f>(20*F513)/100</f>
        <v>2</v>
      </c>
      <c r="K513" s="834">
        <f>(3.4*F513)/100</f>
        <v>0.34</v>
      </c>
      <c r="L513" s="220">
        <f>(206*F513)/100</f>
        <v>20.6</v>
      </c>
      <c r="M513" s="1011"/>
      <c r="N513" s="275"/>
    </row>
    <row r="514" spans="1:14" ht="12.75">
      <c r="A514" s="340" t="s">
        <v>102</v>
      </c>
      <c r="B514" s="493"/>
      <c r="C514" s="493"/>
      <c r="D514" s="832"/>
      <c r="E514" s="835">
        <v>0.035</v>
      </c>
      <c r="F514" s="85">
        <v>35</v>
      </c>
      <c r="G514" s="535">
        <v>63</v>
      </c>
      <c r="H514" s="535">
        <f t="shared" si="2"/>
        <v>2.205</v>
      </c>
      <c r="I514" s="85">
        <f>(11*F514)/100</f>
        <v>3.85</v>
      </c>
      <c r="J514" s="85">
        <f>(1.3*F514)/100</f>
        <v>0.455</v>
      </c>
      <c r="K514" s="85">
        <f>(69.6*F514)/100</f>
        <v>24.36</v>
      </c>
      <c r="L514" s="86">
        <f>(338*F514)/100</f>
        <v>118.3</v>
      </c>
      <c r="M514" s="1011"/>
      <c r="N514" s="275"/>
    </row>
    <row r="515" spans="1:14" ht="12.75">
      <c r="A515" s="340" t="s">
        <v>18</v>
      </c>
      <c r="B515" s="493"/>
      <c r="C515" s="493"/>
      <c r="D515" s="832"/>
      <c r="E515" s="835">
        <v>0.02</v>
      </c>
      <c r="F515" s="85">
        <v>20</v>
      </c>
      <c r="G515" s="53">
        <v>72</v>
      </c>
      <c r="H515" s="97">
        <f t="shared" si="2"/>
        <v>1.44</v>
      </c>
      <c r="I515" s="63">
        <f>(2.9*F515)/100</f>
        <v>0.58</v>
      </c>
      <c r="J515" s="63">
        <f>(F515*2.5)/100</f>
        <v>0.5</v>
      </c>
      <c r="K515" s="63">
        <f>(4.8*F515)/100</f>
        <v>0.96</v>
      </c>
      <c r="L515" s="64">
        <f>(F515*60)/100</f>
        <v>12</v>
      </c>
      <c r="M515" s="1011"/>
      <c r="N515" s="275"/>
    </row>
    <row r="516" spans="1:13" ht="12.75">
      <c r="A516" s="340" t="s">
        <v>46</v>
      </c>
      <c r="B516" s="493"/>
      <c r="C516" s="493"/>
      <c r="D516" s="832"/>
      <c r="E516" s="835">
        <v>0.021</v>
      </c>
      <c r="F516" s="85">
        <v>20</v>
      </c>
      <c r="G516" s="342">
        <v>230</v>
      </c>
      <c r="H516" s="112">
        <f t="shared" si="2"/>
        <v>4.83</v>
      </c>
      <c r="I516" s="258">
        <f>(12.7*F516)/100</f>
        <v>2.54</v>
      </c>
      <c r="J516" s="258">
        <f>(F516*11.5)/100</f>
        <v>2.3</v>
      </c>
      <c r="K516" s="258">
        <f>(F516*0.7)/100</f>
        <v>0.14</v>
      </c>
      <c r="L516" s="327">
        <f>(157*F516)/100</f>
        <v>31.4</v>
      </c>
      <c r="M516" s="986"/>
    </row>
    <row r="517" spans="1:13" ht="12.75">
      <c r="A517" s="248" t="s">
        <v>33</v>
      </c>
      <c r="B517" s="249"/>
      <c r="C517" s="249"/>
      <c r="D517" s="260"/>
      <c r="E517" s="261">
        <v>0.01</v>
      </c>
      <c r="F517" s="262">
        <v>8</v>
      </c>
      <c r="G517" s="112">
        <v>63</v>
      </c>
      <c r="H517" s="112">
        <f>G517*E517</f>
        <v>0.63</v>
      </c>
      <c r="I517" s="204">
        <f>(F517*1.4)/100</f>
        <v>0.11199999999999999</v>
      </c>
      <c r="J517" s="204">
        <f>(F517*0.2)/100</f>
        <v>0.016</v>
      </c>
      <c r="K517" s="204">
        <f>(F517*8.2)/100</f>
        <v>0.6559999999999999</v>
      </c>
      <c r="L517" s="205">
        <f>(F517*41)/100</f>
        <v>3.28</v>
      </c>
      <c r="M517" s="986"/>
    </row>
    <row r="518" spans="1:13" ht="12.75">
      <c r="A518" s="248" t="s">
        <v>34</v>
      </c>
      <c r="B518" s="249"/>
      <c r="C518" s="249"/>
      <c r="D518" s="260"/>
      <c r="E518" s="271">
        <v>0.015</v>
      </c>
      <c r="F518" s="272">
        <v>13</v>
      </c>
      <c r="G518" s="273">
        <v>70</v>
      </c>
      <c r="H518" s="507">
        <f>E518*G518</f>
        <v>1.05</v>
      </c>
      <c r="I518" s="204">
        <f>(F518*1.3)/100</f>
        <v>0.169</v>
      </c>
      <c r="J518" s="204">
        <f>(F518*0.1)/100</f>
        <v>0.013000000000000001</v>
      </c>
      <c r="K518" s="204">
        <f>(F518*6.9)/100</f>
        <v>0.897</v>
      </c>
      <c r="L518" s="274">
        <f>(F518*35)/100</f>
        <v>4.55</v>
      </c>
      <c r="M518" s="986"/>
    </row>
    <row r="519" spans="1:13" ht="12.75">
      <c r="A519" s="225" t="s">
        <v>36</v>
      </c>
      <c r="B519" s="1128"/>
      <c r="C519" s="1128"/>
      <c r="D519" s="1129"/>
      <c r="E519" s="1130">
        <v>0.08</v>
      </c>
      <c r="F519" s="1131">
        <v>75</v>
      </c>
      <c r="G519" s="1132">
        <v>530</v>
      </c>
      <c r="H519" s="230">
        <f>G519*E519</f>
        <v>42.4</v>
      </c>
      <c r="I519" s="1140">
        <f>(18.6*F519)/100</f>
        <v>13.95</v>
      </c>
      <c r="J519" s="1140">
        <f>(16*F519)/100</f>
        <v>12</v>
      </c>
      <c r="K519" s="1140"/>
      <c r="L519" s="1141">
        <f>(218*F519)/100</f>
        <v>163.5</v>
      </c>
      <c r="M519" s="986"/>
    </row>
    <row r="520" spans="1:12" ht="12.75">
      <c r="A520" s="1773" t="s">
        <v>145</v>
      </c>
      <c r="B520" s="1773"/>
      <c r="C520" s="1773"/>
      <c r="D520" s="20">
        <v>150</v>
      </c>
      <c r="E520" s="846"/>
      <c r="F520" s="846"/>
      <c r="G520" s="23"/>
      <c r="H520" s="23">
        <f>H521+H522</f>
        <v>4.550000000000001</v>
      </c>
      <c r="I520" s="294">
        <f>SUM(I521:I522)</f>
        <v>0.065</v>
      </c>
      <c r="J520" s="294">
        <f>SUM(J521:J522)</f>
        <v>0.026000000000000002</v>
      </c>
      <c r="K520" s="294">
        <f>SUM(K521:K522)</f>
        <v>13.454999999999998</v>
      </c>
      <c r="L520" s="847">
        <f>SUM(L521:L522)</f>
        <v>55.51</v>
      </c>
    </row>
    <row r="521" spans="1:12" ht="12.75">
      <c r="A521" s="196" t="s">
        <v>119</v>
      </c>
      <c r="B521" s="848"/>
      <c r="C521" s="849"/>
      <c r="D521" s="850"/>
      <c r="E521" s="851">
        <v>0.013000000000000001</v>
      </c>
      <c r="F521" s="852">
        <v>13</v>
      </c>
      <c r="G521" s="200">
        <v>260</v>
      </c>
      <c r="H521" s="200">
        <f>G521*E521</f>
        <v>3.3800000000000003</v>
      </c>
      <c r="I521" s="85">
        <f>(F521*0.5)/100</f>
        <v>0.065</v>
      </c>
      <c r="J521" s="85">
        <f>(F521*0.2)/100</f>
        <v>0.026000000000000002</v>
      </c>
      <c r="K521" s="85">
        <f>(F521*3.7)/100</f>
        <v>0.48100000000000004</v>
      </c>
      <c r="L521" s="86">
        <f>(28*F521)/100</f>
        <v>3.64</v>
      </c>
    </row>
    <row r="522" spans="1:12" ht="12.75">
      <c r="A522" s="37" t="s">
        <v>17</v>
      </c>
      <c r="B522" s="38"/>
      <c r="C522" s="292"/>
      <c r="D522" s="293"/>
      <c r="E522" s="41">
        <v>0.013000000000000001</v>
      </c>
      <c r="F522" s="42">
        <v>13</v>
      </c>
      <c r="G522" s="43">
        <v>90</v>
      </c>
      <c r="H522" s="43">
        <f>E522*G522</f>
        <v>1.1700000000000002</v>
      </c>
      <c r="I522" s="80"/>
      <c r="J522" s="80"/>
      <c r="K522" s="80">
        <f>(F522*99.8)/100</f>
        <v>12.973999999999998</v>
      </c>
      <c r="L522" s="81">
        <f>(F522*399)/100</f>
        <v>51.87</v>
      </c>
    </row>
    <row r="523" spans="1:12" ht="12.75">
      <c r="A523" s="37"/>
      <c r="B523" s="38"/>
      <c r="C523" s="292"/>
      <c r="D523" s="293"/>
      <c r="E523" s="41"/>
      <c r="F523" s="42"/>
      <c r="G523" s="43"/>
      <c r="H523" s="43"/>
      <c r="I523" s="1012"/>
      <c r="J523" s="1012"/>
      <c r="K523" s="1012"/>
      <c r="L523" s="1013"/>
    </row>
    <row r="524" spans="1:12" ht="12.75">
      <c r="A524" s="280" t="s">
        <v>41</v>
      </c>
      <c r="B524" s="1014"/>
      <c r="C524" s="1014"/>
      <c r="D524" s="927">
        <v>30</v>
      </c>
      <c r="E524" s="66">
        <v>0.03</v>
      </c>
      <c r="F524" s="21">
        <v>30</v>
      </c>
      <c r="G524" s="22">
        <v>35</v>
      </c>
      <c r="H524" s="23">
        <f>E524*G524</f>
        <v>1.05</v>
      </c>
      <c r="I524" s="294">
        <f>(6.6*F524)/100</f>
        <v>1.98</v>
      </c>
      <c r="J524" s="294">
        <f>(1.2*F524)/100</f>
        <v>0.36</v>
      </c>
      <c r="K524" s="294">
        <f>(33.4*F524)/100</f>
        <v>10.02</v>
      </c>
      <c r="L524" s="67">
        <f>(174*F524)/100</f>
        <v>52.2</v>
      </c>
    </row>
    <row r="525" spans="1:12" ht="12.75">
      <c r="A525" s="309" t="s">
        <v>48</v>
      </c>
      <c r="B525" s="310"/>
      <c r="C525" s="310"/>
      <c r="D525" s="853">
        <v>20</v>
      </c>
      <c r="E525" s="66">
        <v>0.02</v>
      </c>
      <c r="F525" s="21">
        <v>20</v>
      </c>
      <c r="G525" s="22">
        <v>64</v>
      </c>
      <c r="H525" s="23">
        <f>E525*G525</f>
        <v>1.28</v>
      </c>
      <c r="I525" s="294">
        <f>(F525*8)/100</f>
        <v>1.6</v>
      </c>
      <c r="J525" s="294">
        <f>(F525*1)/100</f>
        <v>0.2</v>
      </c>
      <c r="K525" s="294">
        <f>(F525*49.1)/100</f>
        <v>9.82</v>
      </c>
      <c r="L525" s="67">
        <f>(F525*238)/100</f>
        <v>47.6</v>
      </c>
    </row>
    <row r="526" spans="1:12" ht="15.75">
      <c r="A526" s="733"/>
      <c r="B526" s="675"/>
      <c r="C526" s="734" t="s">
        <v>43</v>
      </c>
      <c r="D526" s="735"/>
      <c r="E526" s="734"/>
      <c r="F526" s="734"/>
      <c r="G526" s="679"/>
      <c r="H526" s="679">
        <f>H501+H510+H520+H524+H525</f>
        <v>71.22</v>
      </c>
      <c r="I526" s="736"/>
      <c r="J526" s="680"/>
      <c r="K526" s="680"/>
      <c r="L526" s="1015">
        <f>L527/1400</f>
        <v>0.45459999999999995</v>
      </c>
    </row>
    <row r="527" spans="1:12" ht="12.75">
      <c r="A527" s="855"/>
      <c r="B527" s="740" t="s">
        <v>24</v>
      </c>
      <c r="C527" s="740"/>
      <c r="D527" s="741"/>
      <c r="E527" s="740"/>
      <c r="F527" s="740"/>
      <c r="G527" s="742"/>
      <c r="H527" s="742"/>
      <c r="I527" s="930">
        <f>I525+I524+I520+I510+I501</f>
        <v>26.947999999999997</v>
      </c>
      <c r="J527" s="930">
        <f>J525+J524+J520+J510+J501</f>
        <v>25.747999999999998</v>
      </c>
      <c r="K527" s="930">
        <f>K525+K524+K520+K510+K501</f>
        <v>72.786</v>
      </c>
      <c r="L527" s="930">
        <f>L525+L524+L520+L510+L501</f>
        <v>636.4399999999999</v>
      </c>
    </row>
    <row r="528" spans="1:12" ht="12.75">
      <c r="A528" s="931"/>
      <c r="B528" s="57"/>
      <c r="C528" s="634"/>
      <c r="D528" s="207"/>
      <c r="E528" s="634"/>
      <c r="F528" s="634"/>
      <c r="G528" s="210"/>
      <c r="H528" s="210"/>
      <c r="I528" s="223"/>
      <c r="J528" s="223"/>
      <c r="K528" s="223"/>
      <c r="L528" s="672"/>
    </row>
    <row r="529" spans="1:12" ht="12.75">
      <c r="A529" s="931" t="s">
        <v>44</v>
      </c>
      <c r="B529" s="57"/>
      <c r="C529" s="634"/>
      <c r="D529" s="207"/>
      <c r="E529" s="634"/>
      <c r="F529" s="634"/>
      <c r="G529" s="210"/>
      <c r="H529" s="210"/>
      <c r="I529" s="223"/>
      <c r="J529" s="223"/>
      <c r="K529" s="223"/>
      <c r="L529" s="672"/>
    </row>
    <row r="530" spans="1:12" ht="12.75">
      <c r="A530" s="931"/>
      <c r="B530" s="57"/>
      <c r="C530" s="634"/>
      <c r="D530" s="207"/>
      <c r="E530" s="634"/>
      <c r="F530" s="634"/>
      <c r="G530" s="210"/>
      <c r="H530" s="210"/>
      <c r="I530" s="223"/>
      <c r="J530" s="223"/>
      <c r="K530" s="223"/>
      <c r="L530" s="672"/>
    </row>
    <row r="531" spans="1:12" ht="30.75" customHeight="1">
      <c r="A531" s="1800" t="s">
        <v>146</v>
      </c>
      <c r="B531" s="1800"/>
      <c r="C531" s="1800"/>
      <c r="D531" s="311">
        <v>120</v>
      </c>
      <c r="E531" s="312"/>
      <c r="F531" s="282"/>
      <c r="G531" s="283"/>
      <c r="H531" s="284">
        <f>SUM(H532:H536)</f>
        <v>20.407</v>
      </c>
      <c r="I531" s="285">
        <f>I532+I534+I536</f>
        <v>18.959999999999997</v>
      </c>
      <c r="J531" s="285">
        <f>J532+J534+J536</f>
        <v>17.41</v>
      </c>
      <c r="K531" s="285">
        <f>K532+K534+K536</f>
        <v>2.7600000000000002</v>
      </c>
      <c r="L531" s="285">
        <f>L532+L533+L534+L535+L536</f>
        <v>276.58000000000004</v>
      </c>
    </row>
    <row r="532" spans="1:12" ht="12.75" customHeight="1">
      <c r="A532" s="318" t="s">
        <v>18</v>
      </c>
      <c r="B532" s="319"/>
      <c r="C532" s="319"/>
      <c r="D532" s="320"/>
      <c r="E532" s="321">
        <v>0.04</v>
      </c>
      <c r="F532" s="322">
        <v>40</v>
      </c>
      <c r="G532" s="323">
        <v>72</v>
      </c>
      <c r="H532" s="324">
        <f>G532*E532</f>
        <v>2.88</v>
      </c>
      <c r="I532" s="54">
        <f>(2.9*F532)/100</f>
        <v>1.16</v>
      </c>
      <c r="J532" s="54">
        <f>(F532*2.5)/100</f>
        <v>1</v>
      </c>
      <c r="K532" s="54">
        <f>(4.8*F532)/100</f>
        <v>1.92</v>
      </c>
      <c r="L532" s="55">
        <f>(F532*60)/100</f>
        <v>24</v>
      </c>
    </row>
    <row r="533" spans="1:12" ht="13.5" customHeight="1">
      <c r="A533" s="318" t="s">
        <v>76</v>
      </c>
      <c r="B533" s="319"/>
      <c r="C533" s="319"/>
      <c r="D533" s="320"/>
      <c r="E533" s="212">
        <v>0.003</v>
      </c>
      <c r="F533" s="213">
        <v>3</v>
      </c>
      <c r="G533" s="53">
        <v>49</v>
      </c>
      <c r="H533" s="97">
        <f>E533*G533</f>
        <v>0.147</v>
      </c>
      <c r="I533" s="455">
        <f>(F533*10.8)/100</f>
        <v>0.32400000000000007</v>
      </c>
      <c r="J533" s="455">
        <f>(F533*1.3)/100</f>
        <v>0.03900000000000001</v>
      </c>
      <c r="K533" s="455">
        <f>(F533*69.9)/100</f>
        <v>2.097</v>
      </c>
      <c r="L533" s="456">
        <f>(F533*334)/100</f>
        <v>10.02</v>
      </c>
    </row>
    <row r="534" spans="1:12" ht="13.5" customHeight="1">
      <c r="A534" s="318" t="s">
        <v>32</v>
      </c>
      <c r="B534" s="319"/>
      <c r="C534" s="319"/>
      <c r="D534" s="320"/>
      <c r="E534" s="321">
        <v>0.2</v>
      </c>
      <c r="F534" s="322">
        <v>120</v>
      </c>
      <c r="G534" s="323">
        <v>56</v>
      </c>
      <c r="H534" s="324">
        <f>G534*E534</f>
        <v>11.200000000000001</v>
      </c>
      <c r="I534" s="258">
        <f>(12.7*F534)/100</f>
        <v>15.24</v>
      </c>
      <c r="J534" s="258">
        <f>(F534*11.5)/100</f>
        <v>13.8</v>
      </c>
      <c r="K534" s="258">
        <f>(F534*0.7)/100</f>
        <v>0.8400000000000002</v>
      </c>
      <c r="L534" s="327">
        <f>(157*F534)/100</f>
        <v>188.4</v>
      </c>
    </row>
    <row r="535" spans="1:12" ht="12.75">
      <c r="A535" s="318" t="s">
        <v>16</v>
      </c>
      <c r="B535" s="319"/>
      <c r="C535" s="319"/>
      <c r="D535" s="320"/>
      <c r="E535" s="252">
        <v>0.003</v>
      </c>
      <c r="F535" s="253">
        <v>3</v>
      </c>
      <c r="G535" s="254">
        <v>300</v>
      </c>
      <c r="H535" s="323">
        <f>G535*E535</f>
        <v>0.9</v>
      </c>
      <c r="I535" s="45">
        <f>(F535*1)/100</f>
        <v>0.03</v>
      </c>
      <c r="J535" s="45">
        <f>(F535*72.5)/100</f>
        <v>2.175</v>
      </c>
      <c r="K535" s="45">
        <f>(F535*1.4)/100</f>
        <v>0.041999999999999996</v>
      </c>
      <c r="L535" s="46">
        <f>(F535*662)/100</f>
        <v>19.86</v>
      </c>
    </row>
    <row r="536" spans="1:12" ht="12.75">
      <c r="A536" s="429" t="s">
        <v>65</v>
      </c>
      <c r="B536" s="430"/>
      <c r="C536" s="430"/>
      <c r="D536" s="751"/>
      <c r="E536" s="544">
        <v>0.011</v>
      </c>
      <c r="F536" s="545">
        <v>10</v>
      </c>
      <c r="G536" s="546">
        <v>480</v>
      </c>
      <c r="H536" s="756">
        <f>G536*E536</f>
        <v>5.279999999999999</v>
      </c>
      <c r="I536" s="461">
        <f>(25.6*F536)/100</f>
        <v>2.56</v>
      </c>
      <c r="J536" s="461">
        <f>(26.1*F536)/100</f>
        <v>2.61</v>
      </c>
      <c r="K536" s="461"/>
      <c r="L536" s="462">
        <f>(F536*343)/100</f>
        <v>34.3</v>
      </c>
    </row>
    <row r="537" spans="1:12" ht="12.75">
      <c r="A537" s="942"/>
      <c r="B537" s="328"/>
      <c r="C537" s="328"/>
      <c r="D537" s="361"/>
      <c r="E537" s="235"/>
      <c r="F537" s="236"/>
      <c r="G537" s="91"/>
      <c r="H537" s="92"/>
      <c r="I537" s="654"/>
      <c r="J537" s="654"/>
      <c r="K537" s="654"/>
      <c r="L537" s="655"/>
    </row>
    <row r="538" spans="1:12" ht="12.75">
      <c r="A538" s="309" t="s">
        <v>48</v>
      </c>
      <c r="B538" s="310"/>
      <c r="C538" s="310"/>
      <c r="D538" s="65">
        <v>20</v>
      </c>
      <c r="E538" s="66">
        <v>0.02</v>
      </c>
      <c r="F538" s="21">
        <v>20</v>
      </c>
      <c r="G538" s="22">
        <v>64</v>
      </c>
      <c r="H538" s="23">
        <f>G538*E538</f>
        <v>1.28</v>
      </c>
      <c r="I538" s="343">
        <f>(F538*8)/100</f>
        <v>1.6</v>
      </c>
      <c r="J538" s="343">
        <f>(F538*1)/100</f>
        <v>0.2</v>
      </c>
      <c r="K538" s="343">
        <f>(F538*49.1)/100</f>
        <v>9.82</v>
      </c>
      <c r="L538" s="344">
        <f>(F538*238)/100</f>
        <v>47.6</v>
      </c>
    </row>
    <row r="539" spans="1:14" ht="12.75">
      <c r="A539" s="1781" t="s">
        <v>49</v>
      </c>
      <c r="B539" s="1781"/>
      <c r="C539" s="1781"/>
      <c r="D539" s="347">
        <v>150</v>
      </c>
      <c r="E539" s="178"/>
      <c r="F539" s="180"/>
      <c r="G539" s="180"/>
      <c r="H539" s="348">
        <f>H540+H541</f>
        <v>1.214</v>
      </c>
      <c r="I539" s="181">
        <f>SUM(I540:I541)</f>
        <v>0</v>
      </c>
      <c r="J539" s="181">
        <f>SUM(J540:J541)</f>
        <v>0</v>
      </c>
      <c r="K539" s="181">
        <f>SUM(K540:K541)</f>
        <v>10.978</v>
      </c>
      <c r="L539" s="349">
        <f>SUM(L540:L541)</f>
        <v>43.89</v>
      </c>
      <c r="N539" s="221"/>
    </row>
    <row r="540" spans="1:14" ht="12.75">
      <c r="A540" s="1782" t="s">
        <v>20</v>
      </c>
      <c r="B540" s="1782"/>
      <c r="C540" s="1782"/>
      <c r="D540" s="351"/>
      <c r="E540" s="72">
        <v>0.0005</v>
      </c>
      <c r="F540" s="352">
        <v>0.5</v>
      </c>
      <c r="G540" s="74">
        <v>448</v>
      </c>
      <c r="H540" s="75">
        <f>G540*E540</f>
        <v>0.224</v>
      </c>
      <c r="I540" s="75"/>
      <c r="J540" s="75"/>
      <c r="K540" s="75"/>
      <c r="L540" s="353"/>
      <c r="N540" s="221"/>
    </row>
    <row r="541" spans="1:14" ht="12.75">
      <c r="A541" s="354" t="s">
        <v>17</v>
      </c>
      <c r="B541" s="355"/>
      <c r="C541" s="355"/>
      <c r="D541" s="356"/>
      <c r="E541" s="82">
        <v>0.011</v>
      </c>
      <c r="F541" s="357">
        <v>11</v>
      </c>
      <c r="G541" s="84">
        <v>90</v>
      </c>
      <c r="H541" s="358">
        <f>G541*E541</f>
        <v>0.99</v>
      </c>
      <c r="I541" s="358"/>
      <c r="J541" s="358"/>
      <c r="K541" s="358">
        <f>(F541*99.8)/100</f>
        <v>10.978</v>
      </c>
      <c r="L541" s="359">
        <f>(F541*399)/100</f>
        <v>43.89</v>
      </c>
      <c r="N541" s="221"/>
    </row>
    <row r="542" spans="1:12" ht="12.75">
      <c r="A542" s="942"/>
      <c r="B542" s="90"/>
      <c r="C542" s="943"/>
      <c r="D542" s="944"/>
      <c r="E542" s="235"/>
      <c r="F542" s="236"/>
      <c r="G542" s="137"/>
      <c r="H542" s="138"/>
      <c r="I542" s="329"/>
      <c r="J542" s="107"/>
      <c r="K542" s="366"/>
      <c r="L542" s="108"/>
    </row>
    <row r="543" spans="1:12" ht="15.75">
      <c r="A543" s="768"/>
      <c r="B543" s="769"/>
      <c r="C543" s="770" t="s">
        <v>50</v>
      </c>
      <c r="D543" s="658"/>
      <c r="E543" s="771"/>
      <c r="F543" s="771"/>
      <c r="G543" s="772"/>
      <c r="H543" s="660">
        <f>H539+H538+H537+H531</f>
        <v>22.901</v>
      </c>
      <c r="I543" s="773"/>
      <c r="J543" s="773"/>
      <c r="K543" s="773"/>
      <c r="L543" s="663"/>
    </row>
    <row r="544" spans="1:12" ht="12.75">
      <c r="A544" s="774"/>
      <c r="B544" s="775"/>
      <c r="C544" s="776"/>
      <c r="D544" s="777"/>
      <c r="E544" s="442"/>
      <c r="F544" s="442"/>
      <c r="G544" s="443"/>
      <c r="H544" s="443"/>
      <c r="I544" s="844"/>
      <c r="J544" s="844"/>
      <c r="K544" s="844"/>
      <c r="L544" s="1031"/>
    </row>
    <row r="545" spans="1:12" ht="12.75">
      <c r="A545" s="866"/>
      <c r="B545" s="618"/>
      <c r="C545" s="867"/>
      <c r="D545" s="868"/>
      <c r="E545" s="867"/>
      <c r="F545" s="867"/>
      <c r="G545" s="869"/>
      <c r="H545" s="869"/>
      <c r="I545" s="870"/>
      <c r="J545" s="870"/>
      <c r="K545" s="870"/>
      <c r="L545" s="871"/>
    </row>
    <row r="546" spans="1:12" ht="12.75">
      <c r="A546" s="779" t="s">
        <v>51</v>
      </c>
      <c r="B546" s="780"/>
      <c r="C546" s="780"/>
      <c r="D546" s="629"/>
      <c r="E546" s="781">
        <v>0.01</v>
      </c>
      <c r="F546" s="431" t="s">
        <v>52</v>
      </c>
      <c r="G546" s="782">
        <v>20</v>
      </c>
      <c r="H546" s="630">
        <f>E546*G546</f>
        <v>0.2</v>
      </c>
      <c r="I546" s="872"/>
      <c r="J546" s="872"/>
      <c r="K546" s="872"/>
      <c r="L546" s="873"/>
    </row>
    <row r="547" spans="1:15" ht="12.75">
      <c r="A547" s="874"/>
      <c r="B547" s="431"/>
      <c r="C547" s="780"/>
      <c r="D547" s="629"/>
      <c r="E547" s="780"/>
      <c r="F547" s="780"/>
      <c r="G547" s="630"/>
      <c r="H547" s="630"/>
      <c r="I547" s="872"/>
      <c r="J547" s="872"/>
      <c r="K547" s="872"/>
      <c r="L547" s="875"/>
      <c r="O547" t="s">
        <v>137</v>
      </c>
    </row>
    <row r="548" spans="1:12" ht="15.75">
      <c r="A548" s="785"/>
      <c r="B548" s="786"/>
      <c r="C548" s="787" t="s">
        <v>53</v>
      </c>
      <c r="D548" s="788"/>
      <c r="E548" s="786"/>
      <c r="F548" s="787"/>
      <c r="G548" s="789"/>
      <c r="H548" s="789">
        <f>H546+H543+H526+H497+H490</f>
        <v>117.06</v>
      </c>
      <c r="I548" s="876"/>
      <c r="J548" s="876"/>
      <c r="K548" s="876"/>
      <c r="L548" s="954"/>
    </row>
    <row r="549" spans="1:12" ht="12.75">
      <c r="A549" s="879"/>
      <c r="B549" s="881"/>
      <c r="C549" s="881"/>
      <c r="D549" s="882"/>
      <c r="E549" s="1032"/>
      <c r="F549" s="1033" t="s">
        <v>24</v>
      </c>
      <c r="G549" s="883"/>
      <c r="H549" s="883"/>
      <c r="I549" s="1034">
        <f>I539+I538+I536+I531</f>
        <v>23.119999999999997</v>
      </c>
      <c r="J549" s="1034">
        <f>J539+J538+J536+J531</f>
        <v>20.22</v>
      </c>
      <c r="K549" s="1034">
        <f>K539+K538+K536+K531</f>
        <v>23.558000000000003</v>
      </c>
      <c r="L549" s="1034">
        <f>L539+L538+L536+L531</f>
        <v>402.37000000000006</v>
      </c>
    </row>
    <row r="550" spans="1:12" ht="12.75">
      <c r="A550" s="779"/>
      <c r="B550" s="431"/>
      <c r="C550" s="780"/>
      <c r="D550" s="629"/>
      <c r="E550" s="793"/>
      <c r="F550" s="430"/>
      <c r="G550" s="782"/>
      <c r="H550" s="782"/>
      <c r="I550" s="872"/>
      <c r="J550" s="872"/>
      <c r="K550" s="872"/>
      <c r="L550" s="878">
        <f>L549/1400</f>
        <v>0.2874071428571429</v>
      </c>
    </row>
    <row r="551" spans="1:12" ht="12.75">
      <c r="A551" s="779" t="s">
        <v>54</v>
      </c>
      <c r="B551" s="795"/>
      <c r="C551" s="780"/>
      <c r="D551" s="629"/>
      <c r="E551" s="780"/>
      <c r="F551" s="780"/>
      <c r="G551" s="630"/>
      <c r="H551" s="630"/>
      <c r="I551" s="630">
        <f>I549+I527+I498+I491</f>
        <v>56.428</v>
      </c>
      <c r="J551" s="630">
        <f>J549+J527+J498+J491</f>
        <v>54.227999999999994</v>
      </c>
      <c r="K551" s="630">
        <f>K549+K527+K498+K491</f>
        <v>152.692</v>
      </c>
      <c r="L551" s="630">
        <f>L549+L527+L498+L491</f>
        <v>1378.5</v>
      </c>
    </row>
    <row r="552" spans="1:12" ht="12.75">
      <c r="A552" s="618"/>
      <c r="B552" s="618"/>
      <c r="C552" s="618"/>
      <c r="D552" s="796"/>
      <c r="E552" s="618"/>
      <c r="F552" s="618"/>
      <c r="G552" s="618"/>
      <c r="H552" s="618"/>
      <c r="I552" s="621"/>
      <c r="J552" s="621"/>
      <c r="K552" s="621"/>
      <c r="L552" s="885">
        <f>L551/1400</f>
        <v>0.9846428571428572</v>
      </c>
    </row>
    <row r="553" spans="1:12" ht="12.75">
      <c r="A553" s="618"/>
      <c r="B553" s="618"/>
      <c r="C553" s="618"/>
      <c r="D553" s="796"/>
      <c r="E553" s="618"/>
      <c r="F553" s="618"/>
      <c r="G553" s="618"/>
      <c r="H553" s="618"/>
      <c r="I553" s="621"/>
      <c r="J553" s="621"/>
      <c r="K553" s="621"/>
      <c r="L553" s="621"/>
    </row>
    <row r="554" spans="1:12" ht="12.75">
      <c r="A554" s="618"/>
      <c r="B554" s="618"/>
      <c r="C554" s="618"/>
      <c r="D554" s="796"/>
      <c r="E554" s="618"/>
      <c r="F554" s="618"/>
      <c r="G554" s="618"/>
      <c r="H554" s="618"/>
      <c r="I554" s="621"/>
      <c r="J554" s="621"/>
      <c r="K554" s="621"/>
      <c r="L554" s="621"/>
    </row>
    <row r="555" spans="1:12" ht="12.75">
      <c r="A555" s="618"/>
      <c r="B555" s="618"/>
      <c r="C555" s="618"/>
      <c r="D555" s="796"/>
      <c r="E555" s="618"/>
      <c r="F555" s="618"/>
      <c r="G555" s="618"/>
      <c r="H555" s="618"/>
      <c r="I555" s="621"/>
      <c r="J555" s="621"/>
      <c r="K555" s="621"/>
      <c r="L555" s="621"/>
    </row>
    <row r="556" spans="1:12" ht="12.75">
      <c r="A556" s="618"/>
      <c r="B556" s="618"/>
      <c r="C556" s="618"/>
      <c r="D556" s="796"/>
      <c r="E556" s="618"/>
      <c r="F556" s="618"/>
      <c r="G556" s="618"/>
      <c r="H556" s="618"/>
      <c r="I556" s="621"/>
      <c r="J556" s="621"/>
      <c r="K556" s="621"/>
      <c r="L556" s="621"/>
    </row>
    <row r="557" spans="1:12" ht="12.75">
      <c r="A557" s="618"/>
      <c r="B557" s="618"/>
      <c r="C557" s="618"/>
      <c r="D557" s="796"/>
      <c r="E557" s="618"/>
      <c r="F557" s="618"/>
      <c r="G557" s="618"/>
      <c r="H557" s="618"/>
      <c r="I557" s="621"/>
      <c r="J557" s="621"/>
      <c r="K557" s="621"/>
      <c r="L557" s="621"/>
    </row>
    <row r="558" spans="1:12" ht="12.75">
      <c r="A558" s="618"/>
      <c r="B558" s="618"/>
      <c r="C558" s="618"/>
      <c r="D558" s="796"/>
      <c r="E558" s="618"/>
      <c r="F558" s="618"/>
      <c r="G558" s="618"/>
      <c r="H558" s="618"/>
      <c r="I558" s="621"/>
      <c r="J558" s="621"/>
      <c r="K558" s="621"/>
      <c r="L558" s="621"/>
    </row>
    <row r="559" spans="1:12" ht="12.75">
      <c r="A559" s="618"/>
      <c r="B559" s="618"/>
      <c r="C559" s="618"/>
      <c r="D559" s="796"/>
      <c r="E559" s="618"/>
      <c r="F559" s="618"/>
      <c r="G559" s="618"/>
      <c r="H559" s="618"/>
      <c r="I559" s="621"/>
      <c r="J559" s="621"/>
      <c r="K559" s="621"/>
      <c r="L559" s="621"/>
    </row>
    <row r="560" spans="1:12" ht="12.75">
      <c r="A560" s="618"/>
      <c r="B560" s="618"/>
      <c r="C560" s="618"/>
      <c r="D560" s="796"/>
      <c r="E560" s="618"/>
      <c r="F560" s="618"/>
      <c r="G560" s="618"/>
      <c r="H560" s="618"/>
      <c r="I560" s="621"/>
      <c r="J560" s="621"/>
      <c r="K560" s="621"/>
      <c r="L560" s="621"/>
    </row>
    <row r="561" spans="1:12" ht="12.75">
      <c r="A561" s="618"/>
      <c r="B561" s="618"/>
      <c r="C561" s="618"/>
      <c r="D561" s="796"/>
      <c r="E561" s="618"/>
      <c r="F561" s="618"/>
      <c r="G561" s="618"/>
      <c r="H561" s="618"/>
      <c r="I561" s="621"/>
      <c r="J561" s="621"/>
      <c r="K561" s="621"/>
      <c r="L561" s="621"/>
    </row>
    <row r="562" spans="1:12" ht="12.75">
      <c r="A562" s="618"/>
      <c r="B562" s="618"/>
      <c r="C562" s="618"/>
      <c r="D562" s="796"/>
      <c r="E562" s="618"/>
      <c r="F562" s="618"/>
      <c r="G562" s="618"/>
      <c r="H562" s="618"/>
      <c r="I562" s="621"/>
      <c r="J562" s="621"/>
      <c r="K562" s="621"/>
      <c r="L562" s="621"/>
    </row>
    <row r="563" spans="1:12" ht="12.75">
      <c r="A563" s="618"/>
      <c r="B563" s="618"/>
      <c r="C563" s="618"/>
      <c r="D563" s="796"/>
      <c r="E563" s="618"/>
      <c r="F563" s="618"/>
      <c r="G563" s="618"/>
      <c r="H563" s="618"/>
      <c r="I563" s="621"/>
      <c r="J563" s="621"/>
      <c r="K563" s="621"/>
      <c r="L563" s="621"/>
    </row>
    <row r="564" spans="1:12" ht="12.75">
      <c r="A564" s="618"/>
      <c r="B564" s="618"/>
      <c r="C564" s="618"/>
      <c r="D564" s="796"/>
      <c r="E564" s="618"/>
      <c r="F564" s="618"/>
      <c r="G564" s="618"/>
      <c r="H564" s="618"/>
      <c r="I564" s="621"/>
      <c r="J564" s="621"/>
      <c r="K564" s="621"/>
      <c r="L564" s="621"/>
    </row>
    <row r="565" spans="1:12" ht="12.75">
      <c r="A565" s="618"/>
      <c r="B565" s="618"/>
      <c r="C565" s="618"/>
      <c r="D565" s="796"/>
      <c r="E565" s="618"/>
      <c r="F565" s="618"/>
      <c r="G565" s="618"/>
      <c r="H565" s="618"/>
      <c r="I565" s="621"/>
      <c r="J565" s="621"/>
      <c r="K565" s="621"/>
      <c r="L565" s="621"/>
    </row>
    <row r="566" spans="1:12" ht="12.75">
      <c r="A566" s="618"/>
      <c r="B566" s="618"/>
      <c r="C566" s="618"/>
      <c r="D566" s="796"/>
      <c r="E566" s="618"/>
      <c r="F566" s="618"/>
      <c r="G566" s="618"/>
      <c r="H566" s="618"/>
      <c r="I566" s="621"/>
      <c r="J566" s="621"/>
      <c r="K566" s="621"/>
      <c r="L566" s="621"/>
    </row>
    <row r="567" spans="1:12" ht="12.75">
      <c r="A567" s="618"/>
      <c r="B567" s="618"/>
      <c r="C567" s="618"/>
      <c r="D567" s="796"/>
      <c r="E567" s="618"/>
      <c r="F567" s="618"/>
      <c r="G567" s="618"/>
      <c r="H567" s="618"/>
      <c r="I567" s="621"/>
      <c r="J567" s="621"/>
      <c r="K567" s="621"/>
      <c r="L567" s="621"/>
    </row>
    <row r="568" spans="1:12" ht="15">
      <c r="A568" s="618"/>
      <c r="B568" s="618"/>
      <c r="C568" s="618"/>
      <c r="D568" s="796"/>
      <c r="E568" s="800" t="s">
        <v>147</v>
      </c>
      <c r="F568" s="618"/>
      <c r="G568" s="618"/>
      <c r="H568" s="618"/>
      <c r="I568" s="621"/>
      <c r="J568" s="621"/>
      <c r="K568" s="621"/>
      <c r="L568" s="621"/>
    </row>
    <row r="569" spans="1:12" ht="12.75">
      <c r="A569" s="798"/>
      <c r="B569" s="798"/>
      <c r="C569" s="798"/>
      <c r="D569" s="619"/>
      <c r="E569" s="798"/>
      <c r="F569" s="798"/>
      <c r="G569" s="799"/>
      <c r="H569" s="799"/>
      <c r="J569" s="621"/>
      <c r="K569" s="621"/>
      <c r="L569" s="621"/>
    </row>
    <row r="570" spans="1:12" ht="12.75">
      <c r="A570" s="618"/>
      <c r="B570" s="618"/>
      <c r="C570" s="618"/>
      <c r="D570" s="619" t="s">
        <v>231</v>
      </c>
      <c r="E570" s="618"/>
      <c r="F570" s="618"/>
      <c r="G570" s="620"/>
      <c r="H570" s="620"/>
      <c r="I570" s="621"/>
      <c r="J570" s="621"/>
      <c r="K570" s="621"/>
      <c r="L570" s="621"/>
    </row>
    <row r="571" spans="1:12" ht="25.5">
      <c r="A571" s="1787" t="s">
        <v>2</v>
      </c>
      <c r="B571" s="1787"/>
      <c r="C571" s="1787"/>
      <c r="D571" s="622" t="s">
        <v>3</v>
      </c>
      <c r="E571" s="623" t="s">
        <v>4</v>
      </c>
      <c r="F571" s="623" t="s">
        <v>5</v>
      </c>
      <c r="G571" s="624" t="s">
        <v>6</v>
      </c>
      <c r="H571" s="625" t="s">
        <v>56</v>
      </c>
      <c r="I571" s="626" t="s">
        <v>8</v>
      </c>
      <c r="J571" s="626" t="s">
        <v>9</v>
      </c>
      <c r="K571" s="627" t="s">
        <v>10</v>
      </c>
      <c r="L571" s="626" t="s">
        <v>11</v>
      </c>
    </row>
    <row r="572" spans="1:12" ht="12.75" customHeight="1">
      <c r="A572" s="1787"/>
      <c r="B572" s="1787"/>
      <c r="C572" s="1787"/>
      <c r="D572" s="628"/>
      <c r="E572" s="629"/>
      <c r="F572" s="629"/>
      <c r="G572" s="630"/>
      <c r="H572" s="1803" t="s">
        <v>12</v>
      </c>
      <c r="I572" s="1803"/>
      <c r="J572" s="1803"/>
      <c r="K572" s="631"/>
      <c r="L572" s="632"/>
    </row>
    <row r="573" spans="1:12" ht="12.75">
      <c r="A573" s="803"/>
      <c r="B573" s="803"/>
      <c r="C573" s="803"/>
      <c r="D573" s="207"/>
      <c r="E573" s="207"/>
      <c r="F573" s="207"/>
      <c r="G573" s="210"/>
      <c r="H573" s="210"/>
      <c r="I573" s="211"/>
      <c r="J573" s="211"/>
      <c r="K573" s="211"/>
      <c r="L573" s="211"/>
    </row>
    <row r="574" spans="1:12" ht="12.75">
      <c r="A574" s="634" t="s">
        <v>57</v>
      </c>
      <c r="B574" s="633">
        <v>0.3333333333333333</v>
      </c>
      <c r="C574" s="634"/>
      <c r="D574" s="207"/>
      <c r="E574" s="634"/>
      <c r="F574" s="634"/>
      <c r="G574" s="210"/>
      <c r="H574" s="210"/>
      <c r="I574" s="211"/>
      <c r="J574" s="211"/>
      <c r="K574" s="211"/>
      <c r="L574" s="211"/>
    </row>
    <row r="575" spans="1:12" ht="12.75">
      <c r="A575" s="1776" t="s">
        <v>255</v>
      </c>
      <c r="B575" s="1776"/>
      <c r="C575" s="1776"/>
      <c r="D575" s="103">
        <v>150</v>
      </c>
      <c r="E575" s="331"/>
      <c r="F575" s="331"/>
      <c r="G575" s="105"/>
      <c r="H575" s="106">
        <f>H576+H577+H578+H579</f>
        <v>12.194999999999999</v>
      </c>
      <c r="I575" s="107">
        <f>SUM(I576:I579)</f>
        <v>5.655</v>
      </c>
      <c r="J575" s="107">
        <f>SUM(J576:J579)</f>
        <v>7.08</v>
      </c>
      <c r="K575" s="107">
        <f>SUM(K576:K579)</f>
        <v>18.56</v>
      </c>
      <c r="L575" s="108">
        <f>SUM(L576:L579)</f>
        <v>169.25</v>
      </c>
    </row>
    <row r="576" spans="1:12" ht="12.75">
      <c r="A576" s="1037" t="s">
        <v>18</v>
      </c>
      <c r="B576" s="266"/>
      <c r="C576" s="266"/>
      <c r="D576" s="1377"/>
      <c r="E576" s="1039">
        <v>0.13</v>
      </c>
      <c r="F576" s="1040">
        <v>130</v>
      </c>
      <c r="G576" s="1041">
        <v>72</v>
      </c>
      <c r="H576" s="1378">
        <f>E576*G576</f>
        <v>9.36</v>
      </c>
      <c r="I576" s="643">
        <f>(2.9*F576)/100</f>
        <v>3.77</v>
      </c>
      <c r="J576" s="643">
        <f>(F576*2.5)/100</f>
        <v>3.25</v>
      </c>
      <c r="K576" s="643">
        <f>(4.8*F576)/100</f>
        <v>6.24</v>
      </c>
      <c r="L576" s="644">
        <f>(F576*60)/100</f>
        <v>78</v>
      </c>
    </row>
    <row r="577" spans="1:12" ht="12.75">
      <c r="A577" s="429" t="s">
        <v>16</v>
      </c>
      <c r="B577" s="430"/>
      <c r="C577" s="430"/>
      <c r="D577" s="1379"/>
      <c r="E577" s="562">
        <v>0.004</v>
      </c>
      <c r="F577" s="505">
        <v>4</v>
      </c>
      <c r="G577" s="214">
        <v>300</v>
      </c>
      <c r="H577" s="33">
        <f>E577*G577</f>
        <v>1.2</v>
      </c>
      <c r="I577" s="45">
        <f>(F577*1)/100</f>
        <v>0.04</v>
      </c>
      <c r="J577" s="45">
        <f>(F577*72.5)/100</f>
        <v>2.9</v>
      </c>
      <c r="K577" s="45">
        <f>(F577*1.4)/100</f>
        <v>0.055999999999999994</v>
      </c>
      <c r="L577" s="46">
        <f>(F577*662)/100</f>
        <v>26.48</v>
      </c>
    </row>
    <row r="578" spans="1:12" ht="12.75">
      <c r="A578" s="340" t="s">
        <v>15</v>
      </c>
      <c r="B578" s="341"/>
      <c r="C578" s="341"/>
      <c r="D578" s="517"/>
      <c r="E578" s="77">
        <v>0.015</v>
      </c>
      <c r="F578" s="78">
        <v>15</v>
      </c>
      <c r="G578" s="79">
        <v>91</v>
      </c>
      <c r="H578" s="290">
        <f>G578*E578</f>
        <v>1.365</v>
      </c>
      <c r="I578" s="204">
        <f>(12.3*F578)/100</f>
        <v>1.845</v>
      </c>
      <c r="J578" s="204">
        <f>(6.2*F578)/100</f>
        <v>0.93</v>
      </c>
      <c r="K578" s="204">
        <f>(61.8*F578)/100</f>
        <v>9.27</v>
      </c>
      <c r="L578" s="205">
        <f>(352*F578)/100</f>
        <v>52.8</v>
      </c>
    </row>
    <row r="579" spans="1:12" ht="12.75">
      <c r="A579" s="437" t="s">
        <v>17</v>
      </c>
      <c r="B579" s="438"/>
      <c r="C579" s="439"/>
      <c r="D579" s="440"/>
      <c r="E579" s="441">
        <v>0.003</v>
      </c>
      <c r="F579" s="442">
        <v>3</v>
      </c>
      <c r="G579" s="443">
        <v>90</v>
      </c>
      <c r="H579" s="444">
        <f>E579*G579</f>
        <v>0.27</v>
      </c>
      <c r="I579" s="358"/>
      <c r="J579" s="358"/>
      <c r="K579" s="358">
        <f>(F579*99.8)/100</f>
        <v>2.9939999999999998</v>
      </c>
      <c r="L579" s="359">
        <f>(F579*399)/100</f>
        <v>11.97</v>
      </c>
    </row>
    <row r="580" spans="1:12" ht="12.75" customHeight="1">
      <c r="A580" s="1773" t="s">
        <v>61</v>
      </c>
      <c r="B580" s="1773"/>
      <c r="C580" s="1773"/>
      <c r="D580" s="65">
        <v>150</v>
      </c>
      <c r="E580" s="178"/>
      <c r="F580" s="178"/>
      <c r="G580" s="180"/>
      <c r="H580" s="348">
        <f>H581+H582+H583</f>
        <v>13.139999999999999</v>
      </c>
      <c r="I580" s="1396">
        <f>I581+I582+I583</f>
        <v>4.35</v>
      </c>
      <c r="J580" s="1396">
        <f>J581+J582+J583</f>
        <v>3.75</v>
      </c>
      <c r="K580" s="1396">
        <f>K581+K582+K583</f>
        <v>19.176</v>
      </c>
      <c r="L580" s="1396">
        <f>L581+L582+L583</f>
        <v>137.88</v>
      </c>
    </row>
    <row r="581" spans="1:12" ht="12.75">
      <c r="A581" s="1397" t="s">
        <v>238</v>
      </c>
      <c r="B581" s="1398"/>
      <c r="C581" s="893"/>
      <c r="D581" s="453"/>
      <c r="E581" s="1399">
        <v>0.002</v>
      </c>
      <c r="F581" s="1400">
        <v>2</v>
      </c>
      <c r="G581" s="1401">
        <v>630</v>
      </c>
      <c r="H581" s="938">
        <f>E581*G581</f>
        <v>1.26</v>
      </c>
      <c r="I581" s="1400"/>
      <c r="J581" s="1402"/>
      <c r="K581" s="1400"/>
      <c r="L581" s="1403"/>
    </row>
    <row r="582" spans="1:12" ht="12.75">
      <c r="A582" s="217" t="s">
        <v>17</v>
      </c>
      <c r="B582" s="218"/>
      <c r="C582" s="398"/>
      <c r="D582" s="71"/>
      <c r="E582" s="448">
        <v>0.012</v>
      </c>
      <c r="F582" s="449">
        <v>12</v>
      </c>
      <c r="G582" s="447">
        <v>90</v>
      </c>
      <c r="H582" s="447">
        <f>E582*G582</f>
        <v>1.08</v>
      </c>
      <c r="I582" s="80"/>
      <c r="J582" s="80"/>
      <c r="K582" s="80">
        <f>(F582*99.8)/100</f>
        <v>11.975999999999999</v>
      </c>
      <c r="L582" s="81">
        <f>(F582*399)/100</f>
        <v>47.88</v>
      </c>
    </row>
    <row r="583" spans="1:12" ht="12.75">
      <c r="A583" s="1734" t="s">
        <v>18</v>
      </c>
      <c r="B583" s="1735"/>
      <c r="C583" s="1736"/>
      <c r="D583" s="1737"/>
      <c r="E583" s="1738">
        <v>0.15</v>
      </c>
      <c r="F583" s="1739">
        <v>150</v>
      </c>
      <c r="G583" s="1740">
        <v>72</v>
      </c>
      <c r="H583" s="1740">
        <f>E583*G583</f>
        <v>10.799999999999999</v>
      </c>
      <c r="I583" s="1741">
        <f>(2.9*F583)/100</f>
        <v>4.35</v>
      </c>
      <c r="J583" s="1741">
        <f>(F583*2.5)/100</f>
        <v>3.75</v>
      </c>
      <c r="K583" s="1741">
        <f>(4.8*F583)/100</f>
        <v>7.2</v>
      </c>
      <c r="L583" s="1742">
        <f>(F583*60)/100</f>
        <v>90</v>
      </c>
    </row>
    <row r="584" spans="1:12" ht="12.75">
      <c r="A584" s="1774" t="s">
        <v>93</v>
      </c>
      <c r="B584" s="1774"/>
      <c r="C584" s="1774"/>
      <c r="D584" s="645" t="s">
        <v>94</v>
      </c>
      <c r="E584" s="235"/>
      <c r="F584" s="236"/>
      <c r="G584" s="137"/>
      <c r="H584" s="138">
        <f>H585+H587+H586</f>
        <v>3.9899999999999998</v>
      </c>
      <c r="I584" s="139">
        <f>SUM(I585:I587)</f>
        <v>2.25</v>
      </c>
      <c r="J584" s="139">
        <f>SUM(J585:J587)</f>
        <v>2.94</v>
      </c>
      <c r="K584" s="139">
        <f>SUM(K585:K587)</f>
        <v>22.32</v>
      </c>
      <c r="L584" s="140">
        <f>SUM(L585:L587)</f>
        <v>125.1</v>
      </c>
    </row>
    <row r="585" spans="1:12" ht="12.75">
      <c r="A585" s="1788" t="s">
        <v>93</v>
      </c>
      <c r="B585" s="1788"/>
      <c r="C585" s="1788"/>
      <c r="D585" s="646"/>
      <c r="E585" s="647">
        <v>0.03</v>
      </c>
      <c r="F585" s="648">
        <v>30</v>
      </c>
      <c r="G585" s="91">
        <v>133</v>
      </c>
      <c r="H585" s="91">
        <f>E585*G585</f>
        <v>3.9899999999999998</v>
      </c>
      <c r="I585" s="93">
        <v>2.25</v>
      </c>
      <c r="J585" s="93">
        <v>2.94</v>
      </c>
      <c r="K585" s="93">
        <v>22.32</v>
      </c>
      <c r="L585" s="94">
        <v>125.1</v>
      </c>
    </row>
    <row r="586" spans="1:12" ht="12.75">
      <c r="A586" s="457"/>
      <c r="B586" s="458"/>
      <c r="C586" s="458"/>
      <c r="D586" s="459"/>
      <c r="E586" s="460"/>
      <c r="F586" s="461"/>
      <c r="G586" s="461"/>
      <c r="H586" s="461"/>
      <c r="I586" s="461"/>
      <c r="J586" s="461"/>
      <c r="K586" s="461"/>
      <c r="L586" s="462"/>
    </row>
    <row r="587" ht="12.75">
      <c r="D587" s="4"/>
    </row>
    <row r="588" spans="1:12" ht="12.75">
      <c r="A588" s="56"/>
      <c r="B588" s="57"/>
      <c r="C588" s="57"/>
      <c r="D588" s="208"/>
      <c r="E588" s="208"/>
      <c r="F588" s="208"/>
      <c r="G588" s="209"/>
      <c r="H588" s="209"/>
      <c r="I588" s="223"/>
      <c r="J588" s="223"/>
      <c r="K588" s="223"/>
      <c r="L588" s="732"/>
    </row>
    <row r="589" spans="1:12" ht="15.75">
      <c r="A589" s="656" t="s">
        <v>23</v>
      </c>
      <c r="B589" s="657"/>
      <c r="C589" s="657"/>
      <c r="D589" s="658"/>
      <c r="E589" s="659"/>
      <c r="F589" s="658"/>
      <c r="G589" s="660"/>
      <c r="H589" s="660">
        <f>H575+H584+H580</f>
        <v>29.324999999999996</v>
      </c>
      <c r="I589" s="661"/>
      <c r="J589" s="661"/>
      <c r="K589" s="662"/>
      <c r="L589" s="663"/>
    </row>
    <row r="590" spans="1:12" ht="12.75">
      <c r="A590" s="664"/>
      <c r="B590" s="665" t="s">
        <v>24</v>
      </c>
      <c r="C590" s="666"/>
      <c r="D590" s="667"/>
      <c r="E590" s="668"/>
      <c r="F590" s="667"/>
      <c r="G590" s="669"/>
      <c r="H590" s="669"/>
      <c r="I590" s="684">
        <f>I584+I580+I575</f>
        <v>12.254999999999999</v>
      </c>
      <c r="J590" s="684">
        <f>J584+J580+J575</f>
        <v>13.77</v>
      </c>
      <c r="K590" s="896">
        <f>K584+K580+K575</f>
        <v>60.056</v>
      </c>
      <c r="L590" s="670">
        <f>L584+L580+L575</f>
        <v>432.23</v>
      </c>
    </row>
    <row r="591" spans="1:12" ht="12.75">
      <c r="A591" s="1804" t="s">
        <v>25</v>
      </c>
      <c r="B591" s="1804"/>
      <c r="C591" s="1804"/>
      <c r="D591" s="208"/>
      <c r="E591" s="208"/>
      <c r="F591" s="208"/>
      <c r="G591" s="209"/>
      <c r="H591" s="209"/>
      <c r="I591" s="211"/>
      <c r="J591" s="223"/>
      <c r="K591" s="673"/>
      <c r="L591" s="1044">
        <f>L590/1400</f>
        <v>0.3087357142857143</v>
      </c>
    </row>
    <row r="592" spans="1:12" ht="12.75">
      <c r="A592" s="1776" t="s">
        <v>26</v>
      </c>
      <c r="B592" s="1776"/>
      <c r="C592" s="1776"/>
      <c r="D592" s="103">
        <v>100</v>
      </c>
      <c r="E592" s="104"/>
      <c r="F592" s="104"/>
      <c r="G592" s="105"/>
      <c r="H592" s="106">
        <f>H593</f>
        <v>7</v>
      </c>
      <c r="I592" s="139"/>
      <c r="J592" s="140">
        <f>J593</f>
        <v>0</v>
      </c>
      <c r="K592" s="140">
        <f>K593</f>
        <v>10.1</v>
      </c>
      <c r="L592" s="140">
        <f>L593</f>
        <v>46</v>
      </c>
    </row>
    <row r="593" spans="1:12" ht="12.75">
      <c r="A593" s="1777"/>
      <c r="B593" s="1777"/>
      <c r="C593" s="1777"/>
      <c r="D593" s="109"/>
      <c r="E593" s="110">
        <v>0.1</v>
      </c>
      <c r="F593" s="111">
        <v>100</v>
      </c>
      <c r="G593" s="112">
        <v>70</v>
      </c>
      <c r="H593" s="113">
        <f>E593*G593</f>
        <v>7</v>
      </c>
      <c r="I593" s="143"/>
      <c r="J593" s="143"/>
      <c r="K593" s="143">
        <f>(10.1*F593)/100</f>
        <v>10.1</v>
      </c>
      <c r="L593" s="146">
        <f>(F593*46)/100</f>
        <v>46</v>
      </c>
    </row>
    <row r="594" spans="1:12" ht="12.75">
      <c r="A594" s="457"/>
      <c r="B594" s="458"/>
      <c r="C594" s="474"/>
      <c r="D594" s="475"/>
      <c r="E594" s="476"/>
      <c r="F594" s="477"/>
      <c r="G594" s="478"/>
      <c r="H594" s="478"/>
      <c r="I594" s="479"/>
      <c r="J594" s="479"/>
      <c r="K594" s="479"/>
      <c r="L594" s="480"/>
    </row>
    <row r="595" spans="1:12" ht="12.75">
      <c r="A595" s="682"/>
      <c r="B595" s="683" t="s">
        <v>24</v>
      </c>
      <c r="C595" s="683"/>
      <c r="D595" s="667"/>
      <c r="E595" s="667"/>
      <c r="F595" s="667"/>
      <c r="G595" s="669"/>
      <c r="H595" s="669"/>
      <c r="I595" s="685"/>
      <c r="J595" s="685"/>
      <c r="K595" s="685"/>
      <c r="L595" s="685"/>
    </row>
    <row r="596" spans="1:12" ht="12.75">
      <c r="A596" s="1045" t="s">
        <v>151</v>
      </c>
      <c r="B596" s="996"/>
      <c r="C596" s="823"/>
      <c r="D596" s="824"/>
      <c r="E596" s="824"/>
      <c r="F596" s="824"/>
      <c r="G596" s="825"/>
      <c r="H596" s="825"/>
      <c r="I596" s="826"/>
      <c r="J596" s="826"/>
      <c r="K596" s="827"/>
      <c r="L596" s="828">
        <f>L592/1400</f>
        <v>0.032857142857142856</v>
      </c>
    </row>
    <row r="597" spans="1:12" ht="21.75" customHeight="1">
      <c r="A597" s="1791" t="s">
        <v>152</v>
      </c>
      <c r="B597" s="1791"/>
      <c r="C597" s="1791"/>
      <c r="D597" s="829" t="s">
        <v>244</v>
      </c>
      <c r="E597" s="693"/>
      <c r="F597" s="104"/>
      <c r="G597" s="105"/>
      <c r="H597" s="106">
        <f>SUM(H598:H605)</f>
        <v>17.575999999999997</v>
      </c>
      <c r="I597" s="577">
        <f>SUM(I598:I605)</f>
        <v>5.914000000000001</v>
      </c>
      <c r="J597" s="577">
        <f>SUM(J598:J605)</f>
        <v>6.3759999999999994</v>
      </c>
      <c r="K597" s="577">
        <f>SUM(K598:K605)</f>
        <v>11.148000000000003</v>
      </c>
      <c r="L597" s="577">
        <f>SUM(L598:L605)</f>
        <v>126.65000000000002</v>
      </c>
    </row>
    <row r="598" spans="1:12" ht="12.75">
      <c r="A598" s="340" t="s">
        <v>245</v>
      </c>
      <c r="B598" s="493"/>
      <c r="C598" s="493"/>
      <c r="D598" s="515"/>
      <c r="E598" s="835">
        <v>0.027</v>
      </c>
      <c r="F598" s="85">
        <v>20</v>
      </c>
      <c r="G598" s="192">
        <v>240</v>
      </c>
      <c r="H598" s="193">
        <f>G598*E598</f>
        <v>6.4799999999999995</v>
      </c>
      <c r="I598" s="495">
        <f>(F598*18.2)/100</f>
        <v>3.64</v>
      </c>
      <c r="J598" s="495">
        <f>(F598*18.4)/100</f>
        <v>3.68</v>
      </c>
      <c r="K598" s="495"/>
      <c r="L598" s="496">
        <f>(F598*238)/100</f>
        <v>47.6</v>
      </c>
    </row>
    <row r="599" spans="1:12" ht="12.75" customHeight="1">
      <c r="A599" s="340" t="s">
        <v>16</v>
      </c>
      <c r="B599" s="493"/>
      <c r="C599" s="493"/>
      <c r="D599" s="832"/>
      <c r="E599" s="498">
        <v>0.002</v>
      </c>
      <c r="F599" s="435">
        <v>2</v>
      </c>
      <c r="G599" s="32">
        <v>300</v>
      </c>
      <c r="H599" s="33">
        <f>E599*G599</f>
        <v>0.6</v>
      </c>
      <c r="I599" s="45">
        <f>(F599*1)/100</f>
        <v>0.02</v>
      </c>
      <c r="J599" s="45">
        <f>(F599*72.5)/100</f>
        <v>1.45</v>
      </c>
      <c r="K599" s="45">
        <f>(F599*1.4)/100</f>
        <v>0.027999999999999997</v>
      </c>
      <c r="L599" s="46">
        <f>(F599*662)/100</f>
        <v>13.24</v>
      </c>
    </row>
    <row r="600" spans="1:12" ht="12.75">
      <c r="A600" s="508" t="s">
        <v>72</v>
      </c>
      <c r="B600" s="509"/>
      <c r="C600" s="509"/>
      <c r="D600" s="833"/>
      <c r="E600" s="510">
        <v>0.005</v>
      </c>
      <c r="F600" s="511">
        <v>5</v>
      </c>
      <c r="G600" s="501">
        <v>156</v>
      </c>
      <c r="H600" s="501">
        <f>E600*G600</f>
        <v>0.78</v>
      </c>
      <c r="I600" s="834">
        <f>(2.5*F600)/100</f>
        <v>0.125</v>
      </c>
      <c r="J600" s="834">
        <f>(20*F600)/100</f>
        <v>1</v>
      </c>
      <c r="K600" s="834">
        <f>(3.4*F600)/100</f>
        <v>0.17</v>
      </c>
      <c r="L600" s="220">
        <f>(206*F600)/100</f>
        <v>10.3</v>
      </c>
    </row>
    <row r="601" spans="1:26" ht="12.75" customHeight="1">
      <c r="A601" s="340" t="s">
        <v>32</v>
      </c>
      <c r="B601" s="493"/>
      <c r="C601" s="493"/>
      <c r="D601" s="832"/>
      <c r="E601" s="835">
        <v>0.06</v>
      </c>
      <c r="F601" s="85">
        <v>42</v>
      </c>
      <c r="G601" s="535">
        <v>56</v>
      </c>
      <c r="H601" s="501">
        <f>E601*G601</f>
        <v>3.36</v>
      </c>
      <c r="I601" s="213">
        <f>(F601*2)/100</f>
        <v>0.84</v>
      </c>
      <c r="J601" s="213">
        <f>(F601*0.4)/100</f>
        <v>0.168</v>
      </c>
      <c r="K601" s="213">
        <f>(F601*16.3)/100</f>
        <v>6.846</v>
      </c>
      <c r="L601" s="216">
        <f>(F601*77)/100</f>
        <v>32.34</v>
      </c>
      <c r="N601" s="1046"/>
      <c r="O601" s="1047"/>
      <c r="P601" s="1047"/>
      <c r="Q601" s="1047"/>
      <c r="R601" s="207"/>
      <c r="S601" s="208"/>
      <c r="T601" s="208"/>
      <c r="U601" s="209"/>
      <c r="V601" s="210"/>
      <c r="W601" s="207"/>
      <c r="X601" s="207"/>
      <c r="Y601" s="207"/>
      <c r="Z601" s="207"/>
    </row>
    <row r="602" spans="1:26" ht="12.75">
      <c r="A602" s="340" t="s">
        <v>97</v>
      </c>
      <c r="B602" s="493"/>
      <c r="C602" s="493"/>
      <c r="D602" s="832"/>
      <c r="E602" s="498">
        <v>0.085</v>
      </c>
      <c r="F602" s="435">
        <v>55</v>
      </c>
      <c r="G602" s="32">
        <v>56</v>
      </c>
      <c r="H602" s="33">
        <f>E602*G602</f>
        <v>4.760000000000001</v>
      </c>
      <c r="I602" s="85">
        <f>(1.8*F602)/100</f>
        <v>0.99</v>
      </c>
      <c r="J602" s="85">
        <f>(F602*0.1)/100</f>
        <v>0.055</v>
      </c>
      <c r="K602" s="85">
        <f>(F602*4.7)/100</f>
        <v>2.585</v>
      </c>
      <c r="L602" s="86">
        <f>(F602*28)/100</f>
        <v>15.4</v>
      </c>
      <c r="N602" s="286"/>
      <c r="O602" s="221"/>
      <c r="P602" s="57"/>
      <c r="Q602" s="57"/>
      <c r="R602" s="207"/>
      <c r="S602" s="222"/>
      <c r="T602" s="223"/>
      <c r="U602" s="209"/>
      <c r="V602" s="224"/>
      <c r="W602" s="152"/>
      <c r="X602" s="152"/>
      <c r="Y602" s="152"/>
      <c r="Z602" s="152"/>
    </row>
    <row r="603" spans="1:26" ht="12.75">
      <c r="A603" s="340" t="s">
        <v>33</v>
      </c>
      <c r="B603" s="341"/>
      <c r="C603" s="341"/>
      <c r="D603" s="520"/>
      <c r="E603" s="212">
        <v>0.01</v>
      </c>
      <c r="F603" s="213">
        <v>8</v>
      </c>
      <c r="G603" s="214">
        <v>63</v>
      </c>
      <c r="H603" s="215">
        <f>E603*G603</f>
        <v>0.63</v>
      </c>
      <c r="I603" s="213">
        <f>(F603*1.4)/100</f>
        <v>0.11199999999999999</v>
      </c>
      <c r="J603" s="213">
        <f>(F603*0.2)/100</f>
        <v>0.016</v>
      </c>
      <c r="K603" s="213">
        <f>(F603*8.2)/100</f>
        <v>0.6559999999999999</v>
      </c>
      <c r="L603" s="216">
        <f>(F603*41)/100</f>
        <v>3.28</v>
      </c>
      <c r="N603" s="286"/>
      <c r="O603" s="221"/>
      <c r="P603" s="57"/>
      <c r="Q603" s="57"/>
      <c r="R603" s="207"/>
      <c r="S603" s="222"/>
      <c r="T603" s="223"/>
      <c r="U603" s="209"/>
      <c r="V603" s="224"/>
      <c r="W603" s="233"/>
      <c r="X603" s="233"/>
      <c r="Y603" s="233"/>
      <c r="Z603" s="233"/>
    </row>
    <row r="604" spans="1:26" ht="12.75">
      <c r="A604" s="47" t="s">
        <v>78</v>
      </c>
      <c r="B604" s="48"/>
      <c r="C604" s="48"/>
      <c r="D604" s="1048"/>
      <c r="E604" s="51">
        <v>0.002</v>
      </c>
      <c r="F604" s="52">
        <v>2</v>
      </c>
      <c r="G604" s="53">
        <v>133</v>
      </c>
      <c r="H604" s="144">
        <f>G604*E604</f>
        <v>0.266</v>
      </c>
      <c r="I604" s="256">
        <f>(4.8*F604)/100</f>
        <v>0.096</v>
      </c>
      <c r="J604" s="256"/>
      <c r="K604" s="256">
        <f>(19*F604)/100</f>
        <v>0.38</v>
      </c>
      <c r="L604" s="532">
        <f>(102*F604)/100</f>
        <v>2.04</v>
      </c>
      <c r="N604" s="286"/>
      <c r="O604" s="837"/>
      <c r="P604" s="837"/>
      <c r="Q604" s="837"/>
      <c r="R604" s="247"/>
      <c r="S604" s="838"/>
      <c r="T604" s="221"/>
      <c r="U604" s="224"/>
      <c r="V604" s="224"/>
      <c r="W604" s="237"/>
      <c r="X604" s="237"/>
      <c r="Y604" s="237"/>
      <c r="Z604" s="237"/>
    </row>
    <row r="605" spans="1:26" ht="12.75">
      <c r="A605" s="340" t="s">
        <v>34</v>
      </c>
      <c r="B605" s="341"/>
      <c r="C605" s="341"/>
      <c r="D605" s="836"/>
      <c r="E605" s="212">
        <v>0.01</v>
      </c>
      <c r="F605" s="213">
        <v>7</v>
      </c>
      <c r="G605" s="214">
        <v>70</v>
      </c>
      <c r="H605" s="215">
        <f>G605*E605</f>
        <v>0.7000000000000001</v>
      </c>
      <c r="I605" s="213">
        <f>(F605*1.3)/100</f>
        <v>0.091</v>
      </c>
      <c r="J605" s="213">
        <f>(F605*0.1)/100</f>
        <v>0.007000000000000001</v>
      </c>
      <c r="K605" s="213">
        <f>(F605*6.9)/100</f>
        <v>0.48300000000000004</v>
      </c>
      <c r="L605" s="220">
        <f>(F605*35)/100</f>
        <v>2.45</v>
      </c>
      <c r="N605" s="286"/>
      <c r="O605" s="837"/>
      <c r="P605" s="837"/>
      <c r="Q605" s="837"/>
      <c r="R605" s="247"/>
      <c r="S605" s="838"/>
      <c r="T605" s="221"/>
      <c r="U605" s="224"/>
      <c r="V605" s="224"/>
      <c r="W605" s="237"/>
      <c r="X605" s="237"/>
      <c r="Y605" s="237"/>
      <c r="Z605" s="237"/>
    </row>
    <row r="606" spans="1:26" ht="12.75">
      <c r="A606" s="1792" t="s">
        <v>256</v>
      </c>
      <c r="B606" s="1792"/>
      <c r="C606" s="1792"/>
      <c r="D606" s="20" t="s">
        <v>247</v>
      </c>
      <c r="E606" s="21"/>
      <c r="F606" s="719"/>
      <c r="G606" s="718"/>
      <c r="H606" s="108">
        <f>H607+H608+H609+H610+H611+H612+H613+H614+H615+H616+H617+H618</f>
        <v>39.465</v>
      </c>
      <c r="I606" s="108">
        <f>I607+I608+I609+I610+I611+I612+I613+I614+I615+I616+I617+I618</f>
        <v>13.928</v>
      </c>
      <c r="J606" s="108">
        <f>J607+J608+J609+J610+J611+J612+J613+J614+J615+J616+J617+J618</f>
        <v>15.307999999999998</v>
      </c>
      <c r="K606" s="108">
        <f>K607+K608+K609+K610+K611+K612+K613+K614+K615+K616+K617+K618</f>
        <v>10.461000000000002</v>
      </c>
      <c r="L606" s="108">
        <f>L607+L608+L609+L610+L611+L612+L613+L614+L615+L616+L617+L618</f>
        <v>236.87000000000003</v>
      </c>
      <c r="N606" s="286"/>
      <c r="O606" s="221"/>
      <c r="P606" s="57"/>
      <c r="Q606" s="57"/>
      <c r="R606" s="207"/>
      <c r="S606" s="222"/>
      <c r="T606" s="223"/>
      <c r="U606" s="209"/>
      <c r="V606" s="224"/>
      <c r="W606" s="223"/>
      <c r="X606" s="223"/>
      <c r="Y606" s="223"/>
      <c r="Z606" s="223"/>
    </row>
    <row r="607" spans="1:26" ht="12.75">
      <c r="A607" s="589" t="s">
        <v>36</v>
      </c>
      <c r="B607" s="590"/>
      <c r="C607" s="590"/>
      <c r="D607" s="720"/>
      <c r="E607" s="721">
        <v>0.06</v>
      </c>
      <c r="F607" s="722">
        <v>55</v>
      </c>
      <c r="G607" s="144">
        <v>530</v>
      </c>
      <c r="H607" s="97">
        <f aca="true" t="shared" si="3" ref="H607:H614">E607*G607</f>
        <v>31.799999999999997</v>
      </c>
      <c r="I607" s="723">
        <f>(18.6*F607)/100</f>
        <v>10.23</v>
      </c>
      <c r="J607" s="723">
        <f>(16*F607)/100</f>
        <v>8.8</v>
      </c>
      <c r="K607" s="723"/>
      <c r="L607" s="724">
        <f>(218*F607)/100</f>
        <v>119.9</v>
      </c>
      <c r="N607" s="19"/>
      <c r="O607" s="221"/>
      <c r="P607" s="221"/>
      <c r="Q607" s="221"/>
      <c r="R607" s="247"/>
      <c r="S607" s="1052"/>
      <c r="T607" s="57"/>
      <c r="U607" s="209"/>
      <c r="V607" s="209"/>
      <c r="W607" s="207"/>
      <c r="X607" s="207"/>
      <c r="Y607" s="207"/>
      <c r="Z607" s="207"/>
    </row>
    <row r="608" spans="1:14" ht="12.75">
      <c r="A608" s="217" t="s">
        <v>33</v>
      </c>
      <c r="B608" s="218"/>
      <c r="C608" s="218"/>
      <c r="D608" s="219"/>
      <c r="E608" s="77">
        <v>0.01</v>
      </c>
      <c r="F608" s="80">
        <v>8</v>
      </c>
      <c r="G608" s="32">
        <v>63</v>
      </c>
      <c r="H608" s="33">
        <f t="shared" si="3"/>
        <v>0.63</v>
      </c>
      <c r="I608" s="213">
        <f>(F608*1.4)/100</f>
        <v>0.11199999999999999</v>
      </c>
      <c r="J608" s="213">
        <f>(F608*0.2)/100</f>
        <v>0.016</v>
      </c>
      <c r="K608" s="213">
        <f>(F608*8.2)/100</f>
        <v>0.6559999999999999</v>
      </c>
      <c r="L608" s="216">
        <f>(F608*41)/100</f>
        <v>3.28</v>
      </c>
      <c r="N608" s="286"/>
    </row>
    <row r="609" spans="1:14" ht="12.75">
      <c r="A609" s="217" t="s">
        <v>42</v>
      </c>
      <c r="B609" s="218"/>
      <c r="C609" s="218"/>
      <c r="D609" s="219"/>
      <c r="E609" s="77">
        <v>0.01</v>
      </c>
      <c r="F609" s="80">
        <v>10</v>
      </c>
      <c r="G609" s="79">
        <v>64</v>
      </c>
      <c r="H609" s="79">
        <f t="shared" si="3"/>
        <v>0.64</v>
      </c>
      <c r="I609" s="455">
        <f>(F609*8)/100</f>
        <v>0.8</v>
      </c>
      <c r="J609" s="455">
        <f>(F609*1)/100</f>
        <v>0.1</v>
      </c>
      <c r="K609" s="455">
        <f>(F609*49.1)/100</f>
        <v>4.91</v>
      </c>
      <c r="L609" s="456">
        <f>(F609*238)/100</f>
        <v>23.8</v>
      </c>
      <c r="N609" s="286"/>
    </row>
    <row r="610" spans="1:14" ht="12.75">
      <c r="A610" s="217" t="s">
        <v>37</v>
      </c>
      <c r="B610" s="218"/>
      <c r="C610" s="218"/>
      <c r="D610" s="219"/>
      <c r="E610" s="77">
        <v>0.003</v>
      </c>
      <c r="F610" s="80">
        <v>3</v>
      </c>
      <c r="G610" s="53">
        <v>129</v>
      </c>
      <c r="H610" s="97">
        <f t="shared" si="3"/>
        <v>0.387</v>
      </c>
      <c r="I610" s="521"/>
      <c r="J610" s="455">
        <f>(F610*99.9)/100</f>
        <v>2.9970000000000003</v>
      </c>
      <c r="K610" s="80"/>
      <c r="L610" s="522">
        <f>(F610*899)/100</f>
        <v>26.97</v>
      </c>
      <c r="N610" s="286"/>
    </row>
    <row r="611" spans="1:14" ht="12.75">
      <c r="A611" s="429" t="s">
        <v>76</v>
      </c>
      <c r="B611" s="430"/>
      <c r="C611" s="430"/>
      <c r="D611" s="520"/>
      <c r="E611" s="212">
        <v>0.003</v>
      </c>
      <c r="F611" s="213">
        <v>3</v>
      </c>
      <c r="G611" s="53">
        <v>49</v>
      </c>
      <c r="H611" s="97">
        <f t="shared" si="3"/>
        <v>0.147</v>
      </c>
      <c r="I611" s="455">
        <f>(F611*10.8)/100</f>
        <v>0.32400000000000007</v>
      </c>
      <c r="J611" s="455">
        <f>(F611*1.3)/100</f>
        <v>0.03900000000000001</v>
      </c>
      <c r="K611" s="455">
        <f>(F611*69.9)/100</f>
        <v>2.097</v>
      </c>
      <c r="L611" s="456">
        <f>(F611*334)/100</f>
        <v>10.02</v>
      </c>
      <c r="N611" s="286"/>
    </row>
    <row r="612" spans="1:14" ht="12.75">
      <c r="A612" s="68" t="s">
        <v>46</v>
      </c>
      <c r="B612" s="70"/>
      <c r="C612" s="727"/>
      <c r="D612" s="728"/>
      <c r="E612" s="562">
        <v>0.008</v>
      </c>
      <c r="F612" s="564">
        <v>7</v>
      </c>
      <c r="G612" s="342">
        <v>230</v>
      </c>
      <c r="H612" s="729">
        <f t="shared" si="3"/>
        <v>1.84</v>
      </c>
      <c r="I612" s="455">
        <f>(12.7*F612)/100</f>
        <v>0.8889999999999999</v>
      </c>
      <c r="J612" s="455">
        <f>(F612*11.5)/100</f>
        <v>0.805</v>
      </c>
      <c r="K612" s="455">
        <f>(F612*0.7)/100</f>
        <v>0.049</v>
      </c>
      <c r="L612" s="456">
        <f>(157*F612)/100</f>
        <v>10.99</v>
      </c>
      <c r="N612" s="286"/>
    </row>
    <row r="613" spans="1:14" ht="12.75">
      <c r="A613" s="68" t="s">
        <v>18</v>
      </c>
      <c r="B613" s="69"/>
      <c r="C613" s="69"/>
      <c r="D613" s="289"/>
      <c r="E613" s="77">
        <v>0.02</v>
      </c>
      <c r="F613" s="78">
        <v>20</v>
      </c>
      <c r="G613" s="730">
        <v>72</v>
      </c>
      <c r="H613" s="97">
        <f t="shared" si="3"/>
        <v>1.44</v>
      </c>
      <c r="I613" s="731">
        <f>(2.9*F613)/100</f>
        <v>0.58</v>
      </c>
      <c r="J613" s="63">
        <f>(F613*2.5)/100</f>
        <v>0.5</v>
      </c>
      <c r="K613" s="63">
        <f>(4.8*F613)/100</f>
        <v>0.96</v>
      </c>
      <c r="L613" s="64">
        <f>(F613*60)/100</f>
        <v>12</v>
      </c>
      <c r="N613" s="286"/>
    </row>
    <row r="614" spans="1:14" ht="12.75">
      <c r="A614" s="68" t="s">
        <v>77</v>
      </c>
      <c r="B614" s="69"/>
      <c r="C614" s="69"/>
      <c r="D614" s="289"/>
      <c r="E614" s="77">
        <v>0.01</v>
      </c>
      <c r="F614" s="78">
        <v>8</v>
      </c>
      <c r="G614" s="214">
        <v>63</v>
      </c>
      <c r="H614" s="215">
        <f t="shared" si="3"/>
        <v>0.63</v>
      </c>
      <c r="I614" s="213">
        <f>(F614*1.4)/100</f>
        <v>0.11199999999999999</v>
      </c>
      <c r="J614" s="213">
        <f>(F614*0.2)/100</f>
        <v>0.016</v>
      </c>
      <c r="K614" s="213">
        <f>(F614*8.2)/100</f>
        <v>0.6559999999999999</v>
      </c>
      <c r="L614" s="216">
        <f>(F614*41)/100</f>
        <v>3.28</v>
      </c>
      <c r="N614" s="286"/>
    </row>
    <row r="615" spans="1:14" ht="12.75">
      <c r="A615" s="68" t="s">
        <v>34</v>
      </c>
      <c r="B615" s="69"/>
      <c r="C615" s="69"/>
      <c r="D615" s="289"/>
      <c r="E615" s="77">
        <v>0.015</v>
      </c>
      <c r="F615" s="78">
        <v>10</v>
      </c>
      <c r="G615" s="214">
        <v>56</v>
      </c>
      <c r="H615" s="215">
        <f>G615*E615</f>
        <v>0.84</v>
      </c>
      <c r="I615" s="213">
        <f>(F615*1.3)/100</f>
        <v>0.13</v>
      </c>
      <c r="J615" s="213">
        <f>(F615*0.1)/100</f>
        <v>0.01</v>
      </c>
      <c r="K615" s="213">
        <f>(F615*6.9)/100</f>
        <v>0.69</v>
      </c>
      <c r="L615" s="220">
        <f>(F615*35)/100</f>
        <v>3.5</v>
      </c>
      <c r="N615" s="286"/>
    </row>
    <row r="616" spans="1:14" ht="12.75">
      <c r="A616" s="340" t="s">
        <v>16</v>
      </c>
      <c r="B616" s="493"/>
      <c r="C616" s="493"/>
      <c r="D616" s="832"/>
      <c r="E616" s="498">
        <v>0.002</v>
      </c>
      <c r="F616" s="435">
        <v>2</v>
      </c>
      <c r="G616" s="32">
        <v>300</v>
      </c>
      <c r="H616" s="33">
        <f>E616*G616</f>
        <v>0.6</v>
      </c>
      <c r="I616" s="45">
        <f>(F616*1)/100</f>
        <v>0.02</v>
      </c>
      <c r="J616" s="45">
        <f>(F616*72.5)/100</f>
        <v>1.45</v>
      </c>
      <c r="K616" s="45">
        <f>(F616*1.4)/100</f>
        <v>0.027999999999999997</v>
      </c>
      <c r="L616" s="46">
        <f>(F616*662)/100</f>
        <v>13.24</v>
      </c>
      <c r="N616" s="286"/>
    </row>
    <row r="617" spans="1:14" ht="12.75">
      <c r="A617" s="68" t="s">
        <v>78</v>
      </c>
      <c r="B617" s="69"/>
      <c r="C617" s="69"/>
      <c r="D617" s="289"/>
      <c r="E617" s="77">
        <v>0.002</v>
      </c>
      <c r="F617" s="78">
        <v>2</v>
      </c>
      <c r="G617" s="507">
        <v>133</v>
      </c>
      <c r="H617" s="507">
        <f>E617*G617</f>
        <v>0.266</v>
      </c>
      <c r="I617" s="256">
        <f>(4.8*F617)/100</f>
        <v>0.096</v>
      </c>
      <c r="J617" s="256"/>
      <c r="K617" s="256">
        <f>(19*F617)/100</f>
        <v>0.38</v>
      </c>
      <c r="L617" s="532">
        <f>(102*F617)/100</f>
        <v>2.04</v>
      </c>
      <c r="N617" s="286"/>
    </row>
    <row r="618" spans="1:14" ht="12.75">
      <c r="A618" s="523" t="s">
        <v>76</v>
      </c>
      <c r="B618" s="524"/>
      <c r="C618" s="525"/>
      <c r="D618" s="526"/>
      <c r="E618" s="527">
        <v>0.005</v>
      </c>
      <c r="F618" s="528">
        <v>5</v>
      </c>
      <c r="G618" s="229">
        <v>49</v>
      </c>
      <c r="H618" s="529">
        <f>E618*G618</f>
        <v>0.245</v>
      </c>
      <c r="I618" s="530">
        <f>(12.7*F618)/100</f>
        <v>0.635</v>
      </c>
      <c r="J618" s="530">
        <f>(F618*11.5)/100</f>
        <v>0.575</v>
      </c>
      <c r="K618" s="530">
        <f>(F618*0.7)/100</f>
        <v>0.035</v>
      </c>
      <c r="L618" s="531">
        <f>(157*F618)/100</f>
        <v>7.85</v>
      </c>
      <c r="N618" s="286"/>
    </row>
    <row r="619" spans="1:14" ht="12.75">
      <c r="A619" s="1780" t="s">
        <v>154</v>
      </c>
      <c r="B619" s="1780"/>
      <c r="C619" s="1780"/>
      <c r="D619" s="281">
        <v>100</v>
      </c>
      <c r="E619" s="282"/>
      <c r="F619" s="282"/>
      <c r="G619" s="283"/>
      <c r="H619" s="284">
        <f>H620+H621</f>
        <v>4.455</v>
      </c>
      <c r="I619" s="285">
        <f>SUM(I620:I621)</f>
        <v>3.89</v>
      </c>
      <c r="J619" s="285">
        <f>SUM(J620:J621)</f>
        <v>3.355</v>
      </c>
      <c r="K619" s="285">
        <f>SUM(K620:K621)</f>
        <v>24.416</v>
      </c>
      <c r="L619" s="285">
        <f>SUM(L620:L621)</f>
        <v>144.78</v>
      </c>
      <c r="N619" s="286"/>
    </row>
    <row r="620" spans="1:14" ht="12.75">
      <c r="A620" s="340" t="s">
        <v>92</v>
      </c>
      <c r="B620" s="341"/>
      <c r="C620" s="341"/>
      <c r="D620" s="517"/>
      <c r="E620" s="533">
        <v>0.035</v>
      </c>
      <c r="F620" s="534">
        <v>35</v>
      </c>
      <c r="G620" s="535">
        <v>93</v>
      </c>
      <c r="H620" s="535">
        <f>E620*G620</f>
        <v>3.2550000000000003</v>
      </c>
      <c r="I620" s="85">
        <f>(11*F620)/100</f>
        <v>3.85</v>
      </c>
      <c r="J620" s="85">
        <f>(1.3*F620)/100</f>
        <v>0.455</v>
      </c>
      <c r="K620" s="85">
        <f>(69.6*F620)/100</f>
        <v>24.36</v>
      </c>
      <c r="L620" s="86">
        <f>(338*F620)/100</f>
        <v>118.3</v>
      </c>
      <c r="N620" s="286"/>
    </row>
    <row r="621" spans="1:14" ht="12.75">
      <c r="A621" s="68" t="s">
        <v>16</v>
      </c>
      <c r="B621" s="341"/>
      <c r="C621" s="341"/>
      <c r="D621" s="517"/>
      <c r="E621" s="536">
        <v>0.004</v>
      </c>
      <c r="F621" s="537">
        <v>4</v>
      </c>
      <c r="G621" s="79">
        <v>300</v>
      </c>
      <c r="H621" s="290">
        <f>G621*E621</f>
        <v>1.2</v>
      </c>
      <c r="I621" s="45">
        <f>(F621*1)/100</f>
        <v>0.04</v>
      </c>
      <c r="J621" s="45">
        <f>(F621*72.5)/100</f>
        <v>2.9</v>
      </c>
      <c r="K621" s="45">
        <f>(F621*1.4)/100</f>
        <v>0.055999999999999994</v>
      </c>
      <c r="L621" s="46">
        <f>(F621*662)/100</f>
        <v>26.48</v>
      </c>
      <c r="N621" s="286"/>
    </row>
    <row r="622" spans="1:14" ht="12.75">
      <c r="A622" s="1776" t="s">
        <v>257</v>
      </c>
      <c r="B622" s="1776"/>
      <c r="C622" s="1776"/>
      <c r="D622" s="103">
        <v>150</v>
      </c>
      <c r="E622" s="331"/>
      <c r="F622" s="331"/>
      <c r="G622" s="105"/>
      <c r="H622" s="106">
        <f>H623+H624</f>
        <v>3.87</v>
      </c>
      <c r="I622" s="108">
        <f>I623+I624</f>
        <v>0.075</v>
      </c>
      <c r="J622" s="108">
        <f>J623+J624</f>
        <v>0.03</v>
      </c>
      <c r="K622" s="108">
        <f>K623+K624</f>
        <v>13.528999999999998</v>
      </c>
      <c r="L622" s="108">
        <f>L623+L624</f>
        <v>56.07</v>
      </c>
      <c r="N622" s="206"/>
    </row>
    <row r="623" spans="1:14" ht="12.75">
      <c r="A623" s="538" t="s">
        <v>82</v>
      </c>
      <c r="B623" s="539"/>
      <c r="C623" s="540"/>
      <c r="D623" s="541"/>
      <c r="E623" s="261">
        <v>0.015</v>
      </c>
      <c r="F623" s="262">
        <v>15</v>
      </c>
      <c r="G623" s="112">
        <v>180</v>
      </c>
      <c r="H623" s="113">
        <f>E623*G623</f>
        <v>2.6999999999999997</v>
      </c>
      <c r="I623" s="111">
        <f>(F623*0.5)/100</f>
        <v>0.075</v>
      </c>
      <c r="J623" s="111">
        <f>(0.2*F623)/100</f>
        <v>0.03</v>
      </c>
      <c r="K623" s="111">
        <f>(3.7*F623)/100</f>
        <v>0.555</v>
      </c>
      <c r="L623" s="263">
        <f>(28*F623)/100</f>
        <v>4.2</v>
      </c>
      <c r="N623" s="221"/>
    </row>
    <row r="624" spans="1:14" ht="12.75">
      <c r="A624" s="248" t="s">
        <v>17</v>
      </c>
      <c r="B624" s="250"/>
      <c r="C624" s="1053"/>
      <c r="D624" s="1054"/>
      <c r="E624" s="252">
        <v>0.013000000000000001</v>
      </c>
      <c r="F624" s="253">
        <v>13</v>
      </c>
      <c r="G624" s="254">
        <v>90</v>
      </c>
      <c r="H624" s="255">
        <f>E624*G624</f>
        <v>1.1700000000000002</v>
      </c>
      <c r="I624" s="54"/>
      <c r="J624" s="54"/>
      <c r="K624" s="54">
        <f>(F624*99.8)/100</f>
        <v>12.973999999999998</v>
      </c>
      <c r="L624" s="55">
        <f>(F624*399)/100</f>
        <v>51.87</v>
      </c>
      <c r="N624" s="221"/>
    </row>
    <row r="625" spans="1:14" ht="12.75">
      <c r="A625" s="1773" t="s">
        <v>41</v>
      </c>
      <c r="B625" s="1773"/>
      <c r="C625" s="1773"/>
      <c r="D625" s="927">
        <v>30</v>
      </c>
      <c r="E625" s="66">
        <v>0.03</v>
      </c>
      <c r="F625" s="21">
        <v>30</v>
      </c>
      <c r="G625" s="22">
        <v>35</v>
      </c>
      <c r="H625" s="23">
        <f>E625*G625</f>
        <v>1.05</v>
      </c>
      <c r="I625" s="294">
        <f>(6.6*F625)/100</f>
        <v>1.98</v>
      </c>
      <c r="J625" s="294">
        <f>(1.2*F625)/100</f>
        <v>0.36</v>
      </c>
      <c r="K625" s="294">
        <f>(33.4*F625)/100</f>
        <v>10.02</v>
      </c>
      <c r="L625" s="67">
        <f>(174*F625)/100</f>
        <v>52.2</v>
      </c>
      <c r="N625" s="221"/>
    </row>
    <row r="626" spans="1:14" ht="12.75">
      <c r="A626" s="1773" t="s">
        <v>48</v>
      </c>
      <c r="B626" s="1773"/>
      <c r="C626" s="1773"/>
      <c r="D626" s="853">
        <v>20</v>
      </c>
      <c r="E626" s="66">
        <v>0.02</v>
      </c>
      <c r="F626" s="21">
        <v>20</v>
      </c>
      <c r="G626" s="22">
        <v>64</v>
      </c>
      <c r="H626" s="23">
        <f>E626*G626</f>
        <v>1.28</v>
      </c>
      <c r="I626" s="294">
        <f>(F626*8)/100</f>
        <v>1.6</v>
      </c>
      <c r="J626" s="294">
        <f>(F626*1)/100</f>
        <v>0.2</v>
      </c>
      <c r="K626" s="294">
        <f>(F626*49.1)/100</f>
        <v>9.82</v>
      </c>
      <c r="L626" s="67">
        <f>(F626*238)/100</f>
        <v>47.6</v>
      </c>
      <c r="N626" s="345"/>
    </row>
    <row r="627" spans="1:14" ht="12.75">
      <c r="A627" s="1806"/>
      <c r="B627" s="1806"/>
      <c r="C627" s="1806"/>
      <c r="D627" s="16"/>
      <c r="E627" s="28"/>
      <c r="F627" s="28"/>
      <c r="G627" s="150"/>
      <c r="H627" s="17"/>
      <c r="I627" s="133"/>
      <c r="J627" s="133"/>
      <c r="K627" s="133"/>
      <c r="L627" s="133"/>
      <c r="N627" s="345"/>
    </row>
    <row r="628" spans="1:14" ht="15.75">
      <c r="A628" s="770" t="s">
        <v>156</v>
      </c>
      <c r="B628" s="57"/>
      <c r="C628" s="57"/>
      <c r="D628" s="208"/>
      <c r="E628" s="57"/>
      <c r="F628" s="57"/>
      <c r="G628" s="209"/>
      <c r="H628" s="660">
        <f>H626+H625+H622+H619+H606+H597</f>
        <v>67.696</v>
      </c>
      <c r="I628" s="223"/>
      <c r="J628" s="223"/>
      <c r="K628" s="223"/>
      <c r="L628" s="223"/>
      <c r="N628" s="345"/>
    </row>
    <row r="629" spans="1:15" ht="12.75">
      <c r="A629" s="266"/>
      <c r="B629" s="266"/>
      <c r="C629" s="266"/>
      <c r="D629" s="831"/>
      <c r="E629" s="266"/>
      <c r="F629" s="266"/>
      <c r="G629" s="267"/>
      <c r="H629" s="267"/>
      <c r="I629" s="268"/>
      <c r="J629" s="268"/>
      <c r="K629" s="268"/>
      <c r="L629" s="268"/>
      <c r="M629" s="345"/>
      <c r="N629" s="345"/>
      <c r="O629" s="345"/>
    </row>
    <row r="630" spans="1:14" ht="12.75">
      <c r="A630" s="1055" t="s">
        <v>24</v>
      </c>
      <c r="B630" s="1055"/>
      <c r="C630" s="1055"/>
      <c r="D630" s="1056"/>
      <c r="E630" s="1055"/>
      <c r="F630" s="1055"/>
      <c r="G630" s="1057"/>
      <c r="H630" s="1057"/>
      <c r="I630" s="1058">
        <f>I626+I625+I622+I619+I606+I597</f>
        <v>27.387</v>
      </c>
      <c r="J630" s="1058">
        <f>J626+J625+J622+J619+J606+J597</f>
        <v>25.628999999999998</v>
      </c>
      <c r="K630" s="1058">
        <f>K626+K625+K622+K619+K606+K597</f>
        <v>79.394</v>
      </c>
      <c r="L630" s="1058">
        <f>L626+L625+L622+L619+L606+L597</f>
        <v>664.17</v>
      </c>
      <c r="N630" s="345"/>
    </row>
    <row r="631" spans="1:14" ht="12.75">
      <c r="A631" s="634" t="s">
        <v>44</v>
      </c>
      <c r="B631" s="57"/>
      <c r="C631" s="633">
        <v>0.6458333333333334</v>
      </c>
      <c r="D631" s="208"/>
      <c r="E631" s="57"/>
      <c r="F631" s="57"/>
      <c r="G631" s="57"/>
      <c r="H631" s="57"/>
      <c r="I631" s="211"/>
      <c r="J631" s="211"/>
      <c r="K631" s="209"/>
      <c r="L631" s="1059">
        <f>L630/1400</f>
        <v>0.4744071428571428</v>
      </c>
      <c r="N631" s="278"/>
    </row>
    <row r="632" spans="1:25" ht="12.75">
      <c r="A632" s="1780" t="s">
        <v>157</v>
      </c>
      <c r="B632" s="1780"/>
      <c r="C632" s="1780"/>
      <c r="D632" s="556">
        <v>90</v>
      </c>
      <c r="E632" s="282"/>
      <c r="F632" s="282"/>
      <c r="G632" s="283"/>
      <c r="H632" s="284">
        <f>SUM(H633:H641)</f>
        <v>18.584</v>
      </c>
      <c r="I632" s="285">
        <f>SUM(I633:I639)</f>
        <v>12.63</v>
      </c>
      <c r="J632" s="285">
        <f>SUM(J633:J639)</f>
        <v>11.692</v>
      </c>
      <c r="K632" s="285">
        <f>SUM(K633:K639)</f>
        <v>12.581</v>
      </c>
      <c r="L632" s="285">
        <f>SUM(L633:L639)</f>
        <v>207.21</v>
      </c>
      <c r="N632" s="206"/>
      <c r="O632" s="206"/>
      <c r="P632" s="206"/>
      <c r="Q632" s="211"/>
      <c r="R632" s="57"/>
      <c r="S632" s="57"/>
      <c r="T632" s="209"/>
      <c r="U632" s="210"/>
      <c r="V632" s="211"/>
      <c r="W632" s="211"/>
      <c r="X632" s="211"/>
      <c r="Y632" s="211"/>
    </row>
    <row r="633" spans="1:25" ht="12.75">
      <c r="A633" s="557" t="s">
        <v>18</v>
      </c>
      <c r="B633" s="558"/>
      <c r="C633" s="558"/>
      <c r="D633" s="559"/>
      <c r="E633" s="454">
        <v>0.02</v>
      </c>
      <c r="F633" s="73">
        <v>20</v>
      </c>
      <c r="G633" s="78">
        <v>72</v>
      </c>
      <c r="H633" s="1060">
        <f>G633*E633</f>
        <v>1.44</v>
      </c>
      <c r="I633" s="916">
        <f>(2.9*F633)/100</f>
        <v>0.58</v>
      </c>
      <c r="J633" s="916">
        <f>(F633*2.5)/100</f>
        <v>0.5</v>
      </c>
      <c r="K633" s="916">
        <f>(4.8*F633)/100</f>
        <v>0.96</v>
      </c>
      <c r="L633" s="917">
        <f>(F633*60)/100</f>
        <v>12</v>
      </c>
      <c r="N633" s="221"/>
      <c r="O633" s="221"/>
      <c r="P633" s="221"/>
      <c r="Q633" s="221"/>
      <c r="R633" s="270"/>
      <c r="S633" s="28"/>
      <c r="T633" s="28"/>
      <c r="U633" s="28"/>
      <c r="V633" s="152"/>
      <c r="W633" s="152"/>
      <c r="X633" s="152"/>
      <c r="Y633" s="152"/>
    </row>
    <row r="634" spans="1:25" ht="12.75">
      <c r="A634" s="340" t="s">
        <v>37</v>
      </c>
      <c r="B634" s="341"/>
      <c r="C634" s="341"/>
      <c r="D634" s="517"/>
      <c r="E634" s="448">
        <v>0.003</v>
      </c>
      <c r="F634" s="560">
        <v>3</v>
      </c>
      <c r="G634" s="447">
        <v>129</v>
      </c>
      <c r="H634" s="200">
        <f>E634*G634</f>
        <v>0.387</v>
      </c>
      <c r="I634" s="455"/>
      <c r="J634" s="455">
        <f>(F634*99.9)/100</f>
        <v>2.9970000000000003</v>
      </c>
      <c r="K634" s="455"/>
      <c r="L634" s="910">
        <f>(F634*899)/100</f>
        <v>26.97</v>
      </c>
      <c r="N634" s="221"/>
      <c r="O634" s="221"/>
      <c r="P634" s="221"/>
      <c r="Q634" s="221"/>
      <c r="R634" s="270"/>
      <c r="S634" s="152"/>
      <c r="T634" s="150"/>
      <c r="U634" s="150"/>
      <c r="V634" s="133"/>
      <c r="W634" s="279"/>
      <c r="X634" s="152"/>
      <c r="Y634" s="561"/>
    </row>
    <row r="635" spans="1:25" ht="12.75">
      <c r="A635" s="340" t="s">
        <v>16</v>
      </c>
      <c r="B635" s="341"/>
      <c r="C635" s="341"/>
      <c r="D635" s="517"/>
      <c r="E635" s="562">
        <v>0.002</v>
      </c>
      <c r="F635" s="505">
        <v>2</v>
      </c>
      <c r="G635" s="214">
        <v>257</v>
      </c>
      <c r="H635" s="1060">
        <f>G635*E635</f>
        <v>0.514</v>
      </c>
      <c r="I635" s="45">
        <f>(F635*1)/100</f>
        <v>0.02</v>
      </c>
      <c r="J635" s="45">
        <f>(F635*72.5)/100</f>
        <v>1.45</v>
      </c>
      <c r="K635" s="45">
        <f>(F635*1.4)/100</f>
        <v>0.027999999999999997</v>
      </c>
      <c r="L635" s="46">
        <f>(F635*662)/100</f>
        <v>13.24</v>
      </c>
      <c r="N635" s="221"/>
      <c r="O635" s="221"/>
      <c r="P635" s="221"/>
      <c r="Q635" s="221"/>
      <c r="R635" s="563"/>
      <c r="S635" s="57"/>
      <c r="T635" s="209"/>
      <c r="U635" s="28"/>
      <c r="V635" s="233"/>
      <c r="W635" s="233"/>
      <c r="X635" s="233"/>
      <c r="Y635" s="233"/>
    </row>
    <row r="636" spans="1:25" ht="12.75">
      <c r="A636" s="340" t="s">
        <v>46</v>
      </c>
      <c r="B636" s="341"/>
      <c r="C636" s="341"/>
      <c r="D636" s="517"/>
      <c r="E636" s="562">
        <v>0.006</v>
      </c>
      <c r="F636" s="564">
        <v>5</v>
      </c>
      <c r="G636" s="505">
        <v>230</v>
      </c>
      <c r="H636" s="535">
        <f>E636*G636</f>
        <v>1.3800000000000001</v>
      </c>
      <c r="I636" s="455">
        <f>(12.7*F636)/100</f>
        <v>0.635</v>
      </c>
      <c r="J636" s="455">
        <f>(F636*11.5)/100</f>
        <v>0.575</v>
      </c>
      <c r="K636" s="455">
        <f>(F636*0.7)/100</f>
        <v>0.035</v>
      </c>
      <c r="L636" s="456">
        <f>(157*F636)/100</f>
        <v>7.85</v>
      </c>
      <c r="N636" s="221"/>
      <c r="O636" s="221"/>
      <c r="P636" s="221"/>
      <c r="Q636" s="221"/>
      <c r="R636" s="563"/>
      <c r="S636" s="57"/>
      <c r="T636" s="209"/>
      <c r="U636" s="28"/>
      <c r="V636" s="233"/>
      <c r="W636" s="233"/>
      <c r="X636" s="233"/>
      <c r="Y636" s="233"/>
    </row>
    <row r="637" spans="1:25" ht="12.75">
      <c r="A637" s="859" t="s">
        <v>85</v>
      </c>
      <c r="B637" s="278"/>
      <c r="C637" s="278"/>
      <c r="D637" s="860"/>
      <c r="E637" s="861">
        <v>0.005</v>
      </c>
      <c r="F637" s="862">
        <v>5</v>
      </c>
      <c r="G637" s="273">
        <v>53</v>
      </c>
      <c r="H637" s="255">
        <f>E637*G637</f>
        <v>0.265</v>
      </c>
      <c r="I637" s="34">
        <f>(E637*10.3)/0.1</f>
        <v>0.515</v>
      </c>
      <c r="J637" s="35">
        <f>(F637*1)/100</f>
        <v>0.05</v>
      </c>
      <c r="K637" s="35">
        <f>(F637*70.6)/100</f>
        <v>3.53</v>
      </c>
      <c r="L637" s="36">
        <f>(F637*329)/100</f>
        <v>16.45</v>
      </c>
      <c r="N637" s="221"/>
      <c r="O637" s="221"/>
      <c r="P637" s="221"/>
      <c r="Q637" s="221"/>
      <c r="R637" s="563"/>
      <c r="S637" s="565"/>
      <c r="T637" s="57"/>
      <c r="U637" s="209"/>
      <c r="V637" s="279"/>
      <c r="W637" s="279"/>
      <c r="X637" s="279"/>
      <c r="Y637" s="279"/>
    </row>
    <row r="638" spans="1:25" ht="12.75">
      <c r="A638" s="248" t="s">
        <v>84</v>
      </c>
      <c r="B638" s="249"/>
      <c r="C638" s="249"/>
      <c r="D638" s="260"/>
      <c r="E638" s="271">
        <v>0.07</v>
      </c>
      <c r="F638" s="272">
        <v>68</v>
      </c>
      <c r="G638" s="507">
        <v>180</v>
      </c>
      <c r="H638" s="1063">
        <f>G638*E638</f>
        <v>12.600000000000001</v>
      </c>
      <c r="I638" s="54">
        <f>(16*F638)/100</f>
        <v>10.88</v>
      </c>
      <c r="J638" s="256">
        <f>(F638*9)/100</f>
        <v>6.12</v>
      </c>
      <c r="K638" s="256">
        <f>(3*F638)/100</f>
        <v>2.04</v>
      </c>
      <c r="L638" s="532">
        <f>(157*F638)/100</f>
        <v>106.76</v>
      </c>
      <c r="N638" s="221"/>
      <c r="O638" s="221"/>
      <c r="P638" s="221"/>
      <c r="Q638" s="221"/>
      <c r="R638" s="563"/>
      <c r="S638" s="565"/>
      <c r="T638" s="57"/>
      <c r="U638" s="209"/>
      <c r="V638" s="279"/>
      <c r="W638" s="279"/>
      <c r="X638" s="279"/>
      <c r="Y638" s="279"/>
    </row>
    <row r="639" spans="1:25" ht="12.75">
      <c r="A639" s="340" t="s">
        <v>17</v>
      </c>
      <c r="B639" s="341"/>
      <c r="C639" s="341"/>
      <c r="D639" s="517"/>
      <c r="E639" s="562">
        <v>0.006</v>
      </c>
      <c r="F639" s="505">
        <v>6</v>
      </c>
      <c r="G639" s="214">
        <v>90</v>
      </c>
      <c r="H639" s="1060">
        <f>G639*E639</f>
        <v>0.54</v>
      </c>
      <c r="I639" s="80"/>
      <c r="J639" s="80"/>
      <c r="K639" s="80">
        <f>(F639*99.8)/100</f>
        <v>5.9879999999999995</v>
      </c>
      <c r="L639" s="81">
        <f>(F639*399)/100</f>
        <v>23.94</v>
      </c>
      <c r="N639" s="221"/>
      <c r="O639" s="221"/>
      <c r="P639" s="221"/>
      <c r="Q639" s="221"/>
      <c r="R639" s="563"/>
      <c r="S639" s="57"/>
      <c r="T639" s="209"/>
      <c r="U639" s="28"/>
      <c r="V639" s="291"/>
      <c r="W639" s="291"/>
      <c r="X639" s="291"/>
      <c r="Y639" s="291"/>
    </row>
    <row r="640" spans="1:25" ht="12.75">
      <c r="A640" s="340" t="s">
        <v>158</v>
      </c>
      <c r="B640" s="341"/>
      <c r="C640" s="341"/>
      <c r="D640" s="517"/>
      <c r="E640" s="77">
        <v>0.013000000000000001</v>
      </c>
      <c r="F640" s="78">
        <v>10</v>
      </c>
      <c r="G640" s="78">
        <v>110</v>
      </c>
      <c r="H640" s="1060">
        <f>G640*E640</f>
        <v>1.4300000000000002</v>
      </c>
      <c r="I640" s="54">
        <f>(1.5*F640)/100</f>
        <v>0.15</v>
      </c>
      <c r="J640" s="256">
        <f>(F640*0.5)/100</f>
        <v>0.05</v>
      </c>
      <c r="K640" s="256">
        <f>(21*F640)/100</f>
        <v>2.1</v>
      </c>
      <c r="L640" s="532">
        <f>(96*F640)/100</f>
        <v>9.6</v>
      </c>
      <c r="N640" s="221"/>
      <c r="O640" s="221"/>
      <c r="P640" s="221"/>
      <c r="Q640" s="221"/>
      <c r="R640" s="563"/>
      <c r="S640" s="57"/>
      <c r="T640" s="209"/>
      <c r="U640" s="28"/>
      <c r="V640" s="152"/>
      <c r="W640" s="152"/>
      <c r="X640" s="152"/>
      <c r="Y640" s="152"/>
    </row>
    <row r="641" spans="1:25" ht="12.75">
      <c r="A641" s="566" t="s">
        <v>86</v>
      </c>
      <c r="B641" s="567"/>
      <c r="C641" s="567"/>
      <c r="D641" s="568"/>
      <c r="E641" s="569">
        <v>2E-05</v>
      </c>
      <c r="F641" s="83">
        <v>0.02</v>
      </c>
      <c r="G641" s="83">
        <v>1400</v>
      </c>
      <c r="H641" s="1065">
        <f>G641*E641</f>
        <v>0.028</v>
      </c>
      <c r="I641" s="570"/>
      <c r="J641" s="570"/>
      <c r="K641" s="570"/>
      <c r="L641" s="571"/>
      <c r="N641" s="221"/>
      <c r="O641" s="221"/>
      <c r="P641" s="221"/>
      <c r="Q641" s="221"/>
      <c r="R641" s="594"/>
      <c r="S641" s="28"/>
      <c r="T641" s="28"/>
      <c r="U641" s="28"/>
      <c r="V641" s="223"/>
      <c r="W641" s="223"/>
      <c r="X641" s="223"/>
      <c r="Y641" s="237"/>
    </row>
    <row r="642" spans="1:14" ht="12.75">
      <c r="A642" s="309" t="s">
        <v>159</v>
      </c>
      <c r="B642" s="1066"/>
      <c r="C642" s="1067"/>
      <c r="D642" s="311">
        <v>30</v>
      </c>
      <c r="E642" s="1068"/>
      <c r="F642" s="1069"/>
      <c r="G642" s="284"/>
      <c r="H642" s="284">
        <f>SUM(H643:H646)</f>
        <v>3.3529999999999998</v>
      </c>
      <c r="I642" s="745">
        <f>I643+I644+I646</f>
        <v>1.194</v>
      </c>
      <c r="J642" s="745">
        <f>J643+J644+J646</f>
        <v>0.789</v>
      </c>
      <c r="K642" s="745">
        <f>K643+K644+K646+K645</f>
        <v>7.529</v>
      </c>
      <c r="L642" s="285">
        <f>L643+L644+L646+L645</f>
        <v>43.980000000000004</v>
      </c>
      <c r="N642" s="313"/>
    </row>
    <row r="643" spans="1:14" ht="12.75">
      <c r="A643" s="1807" t="s">
        <v>18</v>
      </c>
      <c r="B643" s="1807"/>
      <c r="C643" s="1807"/>
      <c r="D643" s="202"/>
      <c r="E643" s="1071">
        <v>0.03</v>
      </c>
      <c r="F643" s="1072">
        <v>30</v>
      </c>
      <c r="G643" s="290">
        <v>72</v>
      </c>
      <c r="H643" s="756">
        <f>G643*E643</f>
        <v>2.16</v>
      </c>
      <c r="I643" s="63">
        <f>(2.9*F643)/100</f>
        <v>0.87</v>
      </c>
      <c r="J643" s="63">
        <f>(F643*2.5)/100</f>
        <v>0.75</v>
      </c>
      <c r="K643" s="63">
        <f>(4.8*F643)/100</f>
        <v>1.44</v>
      </c>
      <c r="L643" s="64">
        <f>(F643*60)/100</f>
        <v>18</v>
      </c>
      <c r="N643" s="313"/>
    </row>
    <row r="644" spans="1:14" ht="12.75">
      <c r="A644" s="1807" t="s">
        <v>76</v>
      </c>
      <c r="B644" s="1807"/>
      <c r="C644" s="1807"/>
      <c r="D644" s="202"/>
      <c r="E644" s="1071">
        <v>0.003</v>
      </c>
      <c r="F644" s="1072">
        <v>3</v>
      </c>
      <c r="G644" s="290">
        <v>49</v>
      </c>
      <c r="H644" s="756">
        <f>G644*E644</f>
        <v>0.147</v>
      </c>
      <c r="I644" s="560">
        <f>(F644*10.8)/100</f>
        <v>0.32400000000000007</v>
      </c>
      <c r="J644" s="560">
        <f>(F644*1.3)/100</f>
        <v>0.03900000000000001</v>
      </c>
      <c r="K644" s="560">
        <f>(F644*69.9)/100</f>
        <v>2.097</v>
      </c>
      <c r="L644" s="912">
        <f>(F644*334)/100</f>
        <v>10.02</v>
      </c>
      <c r="N644" s="313"/>
    </row>
    <row r="645" spans="1:14" ht="12.75">
      <c r="A645" s="1807" t="s">
        <v>127</v>
      </c>
      <c r="B645" s="1807"/>
      <c r="C645" s="1807"/>
      <c r="D645" s="202"/>
      <c r="E645" s="1071">
        <v>0.001</v>
      </c>
      <c r="F645" s="1072">
        <v>1</v>
      </c>
      <c r="G645" s="290">
        <v>686</v>
      </c>
      <c r="H645" s="756">
        <f>G645*E645</f>
        <v>0.686</v>
      </c>
      <c r="I645" s="455"/>
      <c r="J645" s="455"/>
      <c r="K645" s="78"/>
      <c r="L645" s="1073"/>
      <c r="N645" s="313"/>
    </row>
    <row r="646" spans="1:14" ht="12.75">
      <c r="A646" s="1807" t="s">
        <v>17</v>
      </c>
      <c r="B646" s="1807"/>
      <c r="C646" s="1807"/>
      <c r="D646" s="202"/>
      <c r="E646" s="1071">
        <v>0.004</v>
      </c>
      <c r="F646" s="1072">
        <v>4</v>
      </c>
      <c r="G646" s="290">
        <v>90</v>
      </c>
      <c r="H646" s="756">
        <f>G646*E646</f>
        <v>0.36</v>
      </c>
      <c r="I646" s="80"/>
      <c r="J646" s="80"/>
      <c r="K646" s="80">
        <f>(F646*99.8)/100</f>
        <v>3.992</v>
      </c>
      <c r="L646" s="81">
        <f>(F646*399)/100</f>
        <v>15.96</v>
      </c>
      <c r="N646" s="313"/>
    </row>
    <row r="647" spans="1:14" ht="12.75">
      <c r="A647" s="1781" t="s">
        <v>49</v>
      </c>
      <c r="B647" s="1781"/>
      <c r="C647" s="1781"/>
      <c r="D647" s="347">
        <v>150</v>
      </c>
      <c r="E647" s="178"/>
      <c r="F647" s="180"/>
      <c r="G647" s="180"/>
      <c r="H647" s="348">
        <f>H648+H649+H650</f>
        <v>1.214</v>
      </c>
      <c r="I647" s="181">
        <f>SUM(I648:I650)</f>
        <v>0</v>
      </c>
      <c r="J647" s="181">
        <f>SUM(J648:J650)</f>
        <v>0</v>
      </c>
      <c r="K647" s="181">
        <f>SUM(K648:K650)</f>
        <v>10.978</v>
      </c>
      <c r="L647" s="349">
        <f>SUM(L648:L650)</f>
        <v>43.89</v>
      </c>
      <c r="N647" s="264"/>
    </row>
    <row r="648" spans="1:14" ht="15.75">
      <c r="A648" s="1794" t="s">
        <v>20</v>
      </c>
      <c r="B648" s="1794"/>
      <c r="C648" s="1794"/>
      <c r="D648" s="759"/>
      <c r="E648" s="760">
        <v>0.0005</v>
      </c>
      <c r="F648" s="761">
        <v>0.5</v>
      </c>
      <c r="G648" s="79">
        <v>448</v>
      </c>
      <c r="H648" s="80">
        <f>G648*E648</f>
        <v>0.224</v>
      </c>
      <c r="I648" s="80"/>
      <c r="J648" s="80"/>
      <c r="K648" s="80"/>
      <c r="L648" s="762"/>
      <c r="N648" s="1074"/>
    </row>
    <row r="649" spans="1:14" ht="12.75">
      <c r="A649" s="68" t="s">
        <v>17</v>
      </c>
      <c r="B649" s="69"/>
      <c r="C649" s="69"/>
      <c r="D649" s="759"/>
      <c r="E649" s="77">
        <v>0.011</v>
      </c>
      <c r="F649" s="763">
        <v>11</v>
      </c>
      <c r="G649" s="79">
        <v>90</v>
      </c>
      <c r="H649" s="80">
        <f>G649*E649</f>
        <v>0.99</v>
      </c>
      <c r="I649" s="80"/>
      <c r="J649" s="80"/>
      <c r="K649" s="80">
        <f>(F649*99.8)/100</f>
        <v>10.978</v>
      </c>
      <c r="L649" s="81">
        <f>(F649*399)/100</f>
        <v>43.89</v>
      </c>
      <c r="N649" s="313"/>
    </row>
    <row r="650" spans="1:14" ht="12.75">
      <c r="A650" s="360"/>
      <c r="B650" s="328"/>
      <c r="C650" s="328"/>
      <c r="D650" s="361"/>
      <c r="E650" s="362"/>
      <c r="F650" s="363"/>
      <c r="G650" s="364"/>
      <c r="H650" s="365"/>
      <c r="I650" s="329"/>
      <c r="J650" s="107"/>
      <c r="K650" s="366"/>
      <c r="L650" s="108"/>
      <c r="N650" s="313"/>
    </row>
    <row r="651" spans="1:14" ht="15.75">
      <c r="A651" s="768"/>
      <c r="B651" s="769"/>
      <c r="C651" s="770" t="s">
        <v>50</v>
      </c>
      <c r="D651" s="658"/>
      <c r="E651" s="771"/>
      <c r="F651" s="771"/>
      <c r="G651" s="772"/>
      <c r="H651" s="660">
        <f>H647+H642+H632+H650</f>
        <v>23.151</v>
      </c>
      <c r="I651" s="773"/>
      <c r="J651" s="773"/>
      <c r="K651" s="773"/>
      <c r="L651" s="663"/>
      <c r="N651" s="278"/>
    </row>
    <row r="652" spans="1:12" ht="12.75">
      <c r="A652" s="1075"/>
      <c r="B652" s="1076"/>
      <c r="C652" s="1076" t="s">
        <v>24</v>
      </c>
      <c r="D652" s="1077"/>
      <c r="E652" s="1076"/>
      <c r="F652" s="1076"/>
      <c r="G652" s="1078"/>
      <c r="H652" s="1078"/>
      <c r="I652" s="1079">
        <f>I647+I642+I632</f>
        <v>13.824000000000002</v>
      </c>
      <c r="J652" s="1079">
        <f>J647+J642+J632</f>
        <v>12.481</v>
      </c>
      <c r="K652" s="1079">
        <f>K647+K642+K632</f>
        <v>31.087999999999997</v>
      </c>
      <c r="L652" s="1079">
        <f>L647+L642+L632</f>
        <v>295.08000000000004</v>
      </c>
    </row>
    <row r="653" spans="1:12" ht="12.75">
      <c r="A653" s="866"/>
      <c r="B653" s="618"/>
      <c r="C653" s="867"/>
      <c r="D653" s="868"/>
      <c r="E653" s="867"/>
      <c r="F653" s="867"/>
      <c r="G653" s="869"/>
      <c r="H653" s="869"/>
      <c r="I653" s="870"/>
      <c r="J653" s="870"/>
      <c r="K653" s="870"/>
      <c r="L653" s="1080">
        <f>L652/1400</f>
        <v>0.2107714285714286</v>
      </c>
    </row>
    <row r="654" spans="1:12" ht="12.75">
      <c r="A654" s="779" t="s">
        <v>51</v>
      </c>
      <c r="B654" s="780"/>
      <c r="C654" s="780"/>
      <c r="D654" s="629"/>
      <c r="E654" s="781">
        <v>0.009000000000000001</v>
      </c>
      <c r="F654" s="430" t="s">
        <v>52</v>
      </c>
      <c r="G654" s="782">
        <v>20</v>
      </c>
      <c r="H654" s="630">
        <f>E654*G654</f>
        <v>0.18000000000000002</v>
      </c>
      <c r="I654" s="872"/>
      <c r="J654" s="872"/>
      <c r="K654" s="872"/>
      <c r="L654" s="873"/>
    </row>
    <row r="655" spans="1:12" ht="15.75">
      <c r="A655" s="785"/>
      <c r="B655" s="786"/>
      <c r="C655" s="787" t="s">
        <v>53</v>
      </c>
      <c r="D655" s="788"/>
      <c r="E655" s="786"/>
      <c r="F655" s="787"/>
      <c r="G655" s="789"/>
      <c r="H655" s="1081">
        <f>H654+H651+H628+H592+H589</f>
        <v>127.352</v>
      </c>
      <c r="I655" s="876"/>
      <c r="J655" s="876"/>
      <c r="K655" s="876"/>
      <c r="L655" s="954"/>
    </row>
    <row r="656" spans="1:12" ht="12.75">
      <c r="A656" s="779"/>
      <c r="B656" s="431"/>
      <c r="C656" s="780"/>
      <c r="D656" s="629"/>
      <c r="E656" s="793"/>
      <c r="F656" s="430"/>
      <c r="G656" s="782"/>
      <c r="H656" s="782"/>
      <c r="I656" s="872"/>
      <c r="J656" s="872"/>
      <c r="K656" s="872"/>
      <c r="L656" s="878"/>
    </row>
    <row r="657" spans="1:12" ht="12.75">
      <c r="A657" s="779" t="s">
        <v>54</v>
      </c>
      <c r="B657" s="795"/>
      <c r="C657" s="780"/>
      <c r="D657" s="629"/>
      <c r="E657" s="780"/>
      <c r="F657" s="780"/>
      <c r="G657" s="630"/>
      <c r="H657" s="630"/>
      <c r="I657" s="632">
        <f>I652+I630+I593+I590</f>
        <v>53.465999999999994</v>
      </c>
      <c r="J657" s="632">
        <f>J652+J630+J593+J590</f>
        <v>51.879999999999995</v>
      </c>
      <c r="K657" s="632">
        <f>K652+K630+K593+K590</f>
        <v>180.63799999999998</v>
      </c>
      <c r="L657" s="632">
        <f>L652+L630+L593+L590</f>
        <v>1437.48</v>
      </c>
    </row>
    <row r="658" spans="1:12" ht="12.75">
      <c r="A658" s="634"/>
      <c r="B658" s="956"/>
      <c r="C658" s="634"/>
      <c r="D658" s="207"/>
      <c r="E658" s="634"/>
      <c r="F658" s="634"/>
      <c r="G658" s="210"/>
      <c r="H658" s="210"/>
      <c r="I658" s="211"/>
      <c r="J658" s="211"/>
      <c r="K658" s="211"/>
      <c r="L658" s="672">
        <f>L657/1400</f>
        <v>1.0267714285714287</v>
      </c>
    </row>
    <row r="659" spans="1:12" ht="12.75">
      <c r="A659" s="634"/>
      <c r="B659" s="956"/>
      <c r="C659" s="634"/>
      <c r="D659" s="207"/>
      <c r="E659" s="634"/>
      <c r="F659" s="634"/>
      <c r="G659" s="210"/>
      <c r="H659" s="210"/>
      <c r="I659" s="211"/>
      <c r="J659" s="211"/>
      <c r="K659" s="211"/>
      <c r="L659" s="672"/>
    </row>
    <row r="660" spans="1:12" ht="12.75">
      <c r="A660" s="634"/>
      <c r="B660" s="956"/>
      <c r="C660" s="634"/>
      <c r="D660" s="207"/>
      <c r="E660" s="634"/>
      <c r="F660" s="634"/>
      <c r="G660" s="210"/>
      <c r="H660" s="210"/>
      <c r="I660" s="211"/>
      <c r="J660" s="211"/>
      <c r="K660" s="211"/>
      <c r="L660" s="672"/>
    </row>
    <row r="661" spans="1:12" ht="15">
      <c r="A661" s="798"/>
      <c r="B661" s="798"/>
      <c r="C661" s="798"/>
      <c r="D661" s="619"/>
      <c r="E661" s="798"/>
      <c r="F661" s="798"/>
      <c r="G661" s="800" t="s">
        <v>160</v>
      </c>
      <c r="H661" s="799"/>
      <c r="J661" s="621"/>
      <c r="K661" s="621"/>
      <c r="L661" s="621"/>
    </row>
    <row r="662" spans="4:12" ht="13.5" thickBot="1">
      <c r="D662" s="427" t="s">
        <v>231</v>
      </c>
      <c r="G662" s="5"/>
      <c r="H662" s="5"/>
      <c r="J662" s="4"/>
      <c r="L662" s="4"/>
    </row>
    <row r="663" spans="1:12" ht="25.5">
      <c r="A663" s="1869" t="s">
        <v>2</v>
      </c>
      <c r="B663" s="1870"/>
      <c r="C663" s="1871"/>
      <c r="D663" s="6" t="s">
        <v>3</v>
      </c>
      <c r="E663" s="7" t="s">
        <v>4</v>
      </c>
      <c r="F663" s="7" t="s">
        <v>5</v>
      </c>
      <c r="G663" s="1082" t="s">
        <v>6</v>
      </c>
      <c r="H663" s="1083" t="s">
        <v>56</v>
      </c>
      <c r="I663" s="14" t="s">
        <v>8</v>
      </c>
      <c r="J663" s="7" t="s">
        <v>9</v>
      </c>
      <c r="K663" s="10" t="s">
        <v>10</v>
      </c>
      <c r="L663" s="7" t="s">
        <v>11</v>
      </c>
    </row>
    <row r="664" spans="1:12" ht="12.75">
      <c r="A664" s="1872"/>
      <c r="B664" s="1873"/>
      <c r="C664" s="1874"/>
      <c r="D664" s="428"/>
      <c r="E664" s="12"/>
      <c r="F664" s="12"/>
      <c r="G664" s="13"/>
      <c r="H664" s="1084"/>
      <c r="I664" s="12" t="s">
        <v>12</v>
      </c>
      <c r="J664" s="12"/>
      <c r="K664" s="12"/>
      <c r="L664" s="14"/>
    </row>
    <row r="665" spans="1:12" ht="13.5" thickBot="1">
      <c r="A665" s="16" t="s">
        <v>57</v>
      </c>
      <c r="B665" s="16" t="s">
        <v>161</v>
      </c>
      <c r="C665" s="19"/>
      <c r="D665" s="16"/>
      <c r="E665" s="19"/>
      <c r="F665" s="19"/>
      <c r="G665" s="17"/>
      <c r="H665" s="17"/>
      <c r="I665" s="16"/>
      <c r="J665" s="16"/>
      <c r="K665" s="19"/>
      <c r="L665" s="16"/>
    </row>
    <row r="666" spans="1:14" ht="13.5" thickBot="1">
      <c r="A666" s="1773" t="s">
        <v>258</v>
      </c>
      <c r="B666" s="1848"/>
      <c r="C666" s="1848"/>
      <c r="D666" s="20">
        <v>150</v>
      </c>
      <c r="E666" s="21"/>
      <c r="F666" s="21"/>
      <c r="G666" s="22"/>
      <c r="H666" s="23">
        <f>H667+H668+H670+H669</f>
        <v>11.624999999999998</v>
      </c>
      <c r="I666" s="1035">
        <f>I667+I668+I670+I669</f>
        <v>5.355</v>
      </c>
      <c r="J666" s="1035">
        <f>J667+J668+J670+J669</f>
        <v>6.3</v>
      </c>
      <c r="K666" s="1035">
        <f>K667+K668+K670+K669</f>
        <v>19.88</v>
      </c>
      <c r="L666" s="1035">
        <f>L667+L668+L670+L669</f>
        <v>165.79999999999998</v>
      </c>
      <c r="N666" s="206"/>
    </row>
    <row r="667" spans="1:14" ht="12.75">
      <c r="A667" s="27" t="s">
        <v>85</v>
      </c>
      <c r="B667" s="28"/>
      <c r="C667" s="28"/>
      <c r="D667" s="29"/>
      <c r="E667" s="30">
        <v>0.015</v>
      </c>
      <c r="F667" s="31">
        <v>15</v>
      </c>
      <c r="G667" s="32">
        <v>53</v>
      </c>
      <c r="H667" s="33">
        <f>E667*G667</f>
        <v>0.7949999999999999</v>
      </c>
      <c r="I667" s="34">
        <f>(E667*10.3)/0.1</f>
        <v>1.545</v>
      </c>
      <c r="J667" s="35">
        <f>(F667*1)/100</f>
        <v>0.15</v>
      </c>
      <c r="K667" s="35">
        <f>(F667*70.6)/100</f>
        <v>10.59</v>
      </c>
      <c r="L667" s="36">
        <f>(F667*329)/100</f>
        <v>49.35</v>
      </c>
      <c r="N667" s="221"/>
    </row>
    <row r="668" spans="1:14" ht="12.75">
      <c r="A668" s="37" t="s">
        <v>16</v>
      </c>
      <c r="B668" s="38"/>
      <c r="C668" s="39"/>
      <c r="D668" s="40"/>
      <c r="E668" s="41">
        <v>0.004</v>
      </c>
      <c r="F668" s="42">
        <v>4</v>
      </c>
      <c r="G668" s="43">
        <v>300</v>
      </c>
      <c r="H668" s="44">
        <f>E668*G668</f>
        <v>1.2</v>
      </c>
      <c r="I668" s="45">
        <f>(F668*1)/100</f>
        <v>0.04</v>
      </c>
      <c r="J668" s="45">
        <f>(F668*72.5)/100</f>
        <v>2.9</v>
      </c>
      <c r="K668" s="45">
        <f>(F668*1.4)/100</f>
        <v>0.055999999999999994</v>
      </c>
      <c r="L668" s="46">
        <f>(F668*662)/100</f>
        <v>26.48</v>
      </c>
      <c r="N668" s="221"/>
    </row>
    <row r="669" spans="1:14" ht="12.75">
      <c r="A669" s="217" t="s">
        <v>17</v>
      </c>
      <c r="B669" s="218"/>
      <c r="C669" s="398"/>
      <c r="D669" s="71"/>
      <c r="E669" s="448">
        <v>0.003</v>
      </c>
      <c r="F669" s="449">
        <v>3</v>
      </c>
      <c r="G669" s="447">
        <v>90</v>
      </c>
      <c r="H669" s="447">
        <f>E669*G669</f>
        <v>0.27</v>
      </c>
      <c r="I669" s="80"/>
      <c r="J669" s="80"/>
      <c r="K669" s="80">
        <f>(F669*99.8)/100</f>
        <v>2.9939999999999998</v>
      </c>
      <c r="L669" s="81">
        <f>(F669*399)/100</f>
        <v>11.97</v>
      </c>
      <c r="N669" s="221"/>
    </row>
    <row r="670" spans="1:14" ht="13.5" thickBot="1">
      <c r="A670" s="56" t="s">
        <v>18</v>
      </c>
      <c r="B670" s="57"/>
      <c r="C670" s="57"/>
      <c r="D670" s="58"/>
      <c r="E670" s="59">
        <v>0.13</v>
      </c>
      <c r="F670" s="60">
        <v>130</v>
      </c>
      <c r="G670" s="61">
        <v>72</v>
      </c>
      <c r="H670" s="62">
        <f>E670*G670</f>
        <v>9.36</v>
      </c>
      <c r="I670" s="63">
        <f>(2.9*F670)/100</f>
        <v>3.77</v>
      </c>
      <c r="J670" s="63">
        <f>(F670*2.5)/100</f>
        <v>3.25</v>
      </c>
      <c r="K670" s="63">
        <f>(4.8*F670)/100</f>
        <v>6.24</v>
      </c>
      <c r="L670" s="64">
        <f>(F670*60)/100</f>
        <v>78</v>
      </c>
      <c r="N670" s="221"/>
    </row>
    <row r="671" spans="1:26" ht="13.5" thickBot="1">
      <c r="A671" s="1781" t="s">
        <v>49</v>
      </c>
      <c r="B671" s="1825"/>
      <c r="C671" s="1825"/>
      <c r="D671" s="347">
        <v>150</v>
      </c>
      <c r="E671" s="178"/>
      <c r="F671" s="180"/>
      <c r="G671" s="180"/>
      <c r="H671" s="348">
        <f>H672+H673+H674</f>
        <v>1.214</v>
      </c>
      <c r="I671" s="181">
        <f>SUM(I672:I674)</f>
        <v>0</v>
      </c>
      <c r="J671" s="181">
        <f>SUM(J672:J674)</f>
        <v>0</v>
      </c>
      <c r="K671" s="181">
        <f>SUM(K672:K674)</f>
        <v>10.978</v>
      </c>
      <c r="L671" s="349">
        <f>SUM(L672:L674)</f>
        <v>43.89</v>
      </c>
      <c r="O671" s="131"/>
      <c r="P671" s="131"/>
      <c r="Q671" s="131"/>
      <c r="R671" s="16"/>
      <c r="S671" s="28"/>
      <c r="T671" s="28"/>
      <c r="U671" s="150"/>
      <c r="V671" s="17"/>
      <c r="W671" s="1085"/>
      <c r="X671" s="1085"/>
      <c r="Y671" s="1085"/>
      <c r="Z671" s="1085"/>
    </row>
    <row r="672" spans="1:26" ht="12.75">
      <c r="A672" s="1782" t="s">
        <v>20</v>
      </c>
      <c r="B672" s="1826"/>
      <c r="C672" s="1827"/>
      <c r="D672" s="759"/>
      <c r="E672" s="760">
        <v>0.0005</v>
      </c>
      <c r="F672" s="761">
        <v>0.5</v>
      </c>
      <c r="G672" s="79">
        <v>448</v>
      </c>
      <c r="H672" s="80">
        <f>G672*E672</f>
        <v>0.224</v>
      </c>
      <c r="I672" s="80"/>
      <c r="J672" s="80"/>
      <c r="K672" s="80"/>
      <c r="L672" s="762"/>
      <c r="O672" s="286"/>
      <c r="P672" s="28"/>
      <c r="Q672" s="28"/>
      <c r="R672" s="16"/>
      <c r="S672" s="270"/>
      <c r="T672" s="28"/>
      <c r="U672" s="209"/>
      <c r="V672" s="224"/>
      <c r="W672" s="268"/>
      <c r="X672" s="268"/>
      <c r="Y672" s="268"/>
      <c r="Z672" s="268"/>
    </row>
    <row r="673" spans="1:26" ht="12.75">
      <c r="A673" s="68" t="s">
        <v>17</v>
      </c>
      <c r="B673" s="69"/>
      <c r="C673" s="69"/>
      <c r="D673" s="759"/>
      <c r="E673" s="77">
        <v>0.011</v>
      </c>
      <c r="F673" s="763">
        <v>11</v>
      </c>
      <c r="G673" s="79">
        <v>90</v>
      </c>
      <c r="H673" s="80">
        <f>G673*E673</f>
        <v>0.99</v>
      </c>
      <c r="I673" s="80"/>
      <c r="J673" s="80"/>
      <c r="K673" s="80">
        <f>(F673*99.8)/100</f>
        <v>10.978</v>
      </c>
      <c r="L673" s="81">
        <f>(F673*399)/100</f>
        <v>43.89</v>
      </c>
      <c r="O673" s="286"/>
      <c r="P673" s="286"/>
      <c r="Q673" s="28"/>
      <c r="R673" s="149"/>
      <c r="S673" s="270"/>
      <c r="T673" s="28"/>
      <c r="U673" s="150"/>
      <c r="V673" s="151"/>
      <c r="W673" s="233"/>
      <c r="X673" s="233"/>
      <c r="Y673" s="233"/>
      <c r="Z673" s="233"/>
    </row>
    <row r="674" spans="1:26" ht="13.5" thickBot="1">
      <c r="A674" s="37"/>
      <c r="B674" s="38"/>
      <c r="C674" s="39"/>
      <c r="D674" s="71"/>
      <c r="E674" s="41"/>
      <c r="F674" s="42"/>
      <c r="G674" s="43"/>
      <c r="H674" s="447"/>
      <c r="I674" s="63"/>
      <c r="J674" s="63"/>
      <c r="K674" s="63"/>
      <c r="L674" s="64"/>
      <c r="O674" s="275"/>
      <c r="P674" s="275"/>
      <c r="Q674" s="278"/>
      <c r="R674" s="470"/>
      <c r="S674" s="277"/>
      <c r="T674" s="278"/>
      <c r="U674" s="471"/>
      <c r="V674" s="471"/>
      <c r="W674" s="291"/>
      <c r="X674" s="291"/>
      <c r="Y674" s="291"/>
      <c r="Z674" s="291"/>
    </row>
    <row r="675" spans="1:26" ht="13.5" thickBot="1">
      <c r="A675" s="1776" t="s">
        <v>112</v>
      </c>
      <c r="B675" s="1828"/>
      <c r="C675" s="1828"/>
      <c r="D675" s="809" t="s">
        <v>239</v>
      </c>
      <c r="E675" s="330"/>
      <c r="F675" s="331"/>
      <c r="G675" s="105"/>
      <c r="H675" s="106">
        <f>H676+H677</f>
        <v>4.16</v>
      </c>
      <c r="I675" s="108">
        <f>I676+I678+I957</f>
        <v>1.6</v>
      </c>
      <c r="J675" s="108">
        <f>J676+J678+J957</f>
        <v>0.2</v>
      </c>
      <c r="K675" s="108">
        <f>K676+K678+K957</f>
        <v>9.82</v>
      </c>
      <c r="L675" s="108">
        <f>L676+L678+L957</f>
        <v>47.6</v>
      </c>
      <c r="O675" s="221"/>
      <c r="P675" s="57"/>
      <c r="Q675" s="57"/>
      <c r="R675" s="207"/>
      <c r="S675" s="563"/>
      <c r="T675" s="57"/>
      <c r="U675" s="209"/>
      <c r="V675" s="224"/>
      <c r="W675" s="152"/>
      <c r="X675" s="152"/>
      <c r="Y675" s="152"/>
      <c r="Z675" s="152"/>
    </row>
    <row r="676" spans="1:12" ht="12.75" customHeight="1">
      <c r="A676" s="810" t="s">
        <v>42</v>
      </c>
      <c r="B676" s="811"/>
      <c r="C676" s="812"/>
      <c r="D676" s="813"/>
      <c r="E676" s="814">
        <v>0.02</v>
      </c>
      <c r="F676" s="815">
        <v>20</v>
      </c>
      <c r="G676" s="816">
        <v>64</v>
      </c>
      <c r="H676" s="816">
        <f>E676*G676</f>
        <v>1.28</v>
      </c>
      <c r="I676" s="257">
        <f>(F676*8)/100</f>
        <v>1.6</v>
      </c>
      <c r="J676" s="257">
        <f>(F676*1)/100</f>
        <v>0.2</v>
      </c>
      <c r="K676" s="257">
        <f>(F676*49.1)/100</f>
        <v>9.82</v>
      </c>
      <c r="L676" s="817">
        <f>(F676*238)/100</f>
        <v>47.6</v>
      </c>
    </row>
    <row r="677" spans="1:12" ht="13.5" thickBot="1">
      <c r="A677" s="457" t="s">
        <v>65</v>
      </c>
      <c r="B677" s="458"/>
      <c r="C677" s="458"/>
      <c r="D677" s="459"/>
      <c r="E677" s="460">
        <v>0.006</v>
      </c>
      <c r="F677" s="461">
        <v>5</v>
      </c>
      <c r="G677" s="461">
        <v>480</v>
      </c>
      <c r="H677" s="461">
        <f>G677*E677</f>
        <v>2.88</v>
      </c>
      <c r="I677" s="461">
        <f>(25.6*F677)/100</f>
        <v>1.28</v>
      </c>
      <c r="J677" s="461">
        <f>(26.1*F677)/100</f>
        <v>1.305</v>
      </c>
      <c r="K677" s="461"/>
      <c r="L677" s="462">
        <f>(F677*343)/100</f>
        <v>17.15</v>
      </c>
    </row>
    <row r="678" spans="1:12" ht="13.5" thickBot="1">
      <c r="A678" s="1789"/>
      <c r="B678" s="1829"/>
      <c r="C678" s="1830"/>
      <c r="D678" s="765"/>
      <c r="E678" s="82"/>
      <c r="F678" s="83"/>
      <c r="G678" s="84"/>
      <c r="H678" s="1086"/>
      <c r="I678" s="1087"/>
      <c r="J678" s="1087"/>
      <c r="K678" s="1087"/>
      <c r="L678" s="1088"/>
    </row>
    <row r="679" spans="1:12" ht="15.75">
      <c r="A679" s="1089" t="s">
        <v>23</v>
      </c>
      <c r="B679" s="1090"/>
      <c r="C679" s="1090"/>
      <c r="D679" s="1091"/>
      <c r="E679" s="1092"/>
      <c r="F679" s="1091"/>
      <c r="G679" s="1093"/>
      <c r="H679" s="1093">
        <f>H675+H671+H666</f>
        <v>16.999</v>
      </c>
      <c r="I679" s="1094"/>
      <c r="J679" s="1094"/>
      <c r="K679" s="1095"/>
      <c r="L679" s="1096"/>
    </row>
    <row r="680" spans="1:12" ht="16.5" thickBot="1">
      <c r="A680" s="1097"/>
      <c r="B680" s="1098" t="s">
        <v>24</v>
      </c>
      <c r="C680" s="1099"/>
      <c r="D680" s="484"/>
      <c r="E680" s="1100"/>
      <c r="F680" s="484"/>
      <c r="G680" s="1101"/>
      <c r="H680" s="1101"/>
      <c r="I680" s="1453">
        <f>I675+I671+I666</f>
        <v>6.955</v>
      </c>
      <c r="J680" s="1453">
        <f>J675+J671+J666</f>
        <v>6.5</v>
      </c>
      <c r="K680" s="1098">
        <f>K675+K671+K666</f>
        <v>40.678</v>
      </c>
      <c r="L680" s="129">
        <f>L675+L671+L666</f>
        <v>257.28999999999996</v>
      </c>
    </row>
    <row r="681" spans="1:12" ht="12.75">
      <c r="A681" s="1102"/>
      <c r="B681" s="131"/>
      <c r="C681" s="131"/>
      <c r="D681" s="16"/>
      <c r="E681" s="132"/>
      <c r="F681" s="16"/>
      <c r="G681" s="17"/>
      <c r="H681" s="17"/>
      <c r="I681" s="133"/>
      <c r="J681" s="133"/>
      <c r="K681" s="134"/>
      <c r="L681" s="153">
        <f>L680/1800</f>
        <v>0.14293888888888887</v>
      </c>
    </row>
    <row r="682" spans="1:12" ht="13.5" thickBot="1">
      <c r="A682" s="1103"/>
      <c r="B682" s="133" t="s">
        <v>66</v>
      </c>
      <c r="C682" s="152"/>
      <c r="D682" s="149"/>
      <c r="E682" s="149"/>
      <c r="F682" s="149"/>
      <c r="G682" s="150"/>
      <c r="H682" s="150"/>
      <c r="I682" s="133"/>
      <c r="J682" s="152"/>
      <c r="K682" s="1104"/>
      <c r="L682" s="295"/>
    </row>
    <row r="683" spans="1:12" ht="13.5" thickBot="1">
      <c r="A683" s="1776" t="s">
        <v>26</v>
      </c>
      <c r="B683" s="1828"/>
      <c r="C683" s="1828"/>
      <c r="D683" s="103">
        <v>100</v>
      </c>
      <c r="E683" s="104"/>
      <c r="F683" s="104"/>
      <c r="G683" s="105"/>
      <c r="H683" s="106">
        <f>H684</f>
        <v>7</v>
      </c>
      <c r="I683" s="139"/>
      <c r="J683" s="140">
        <f>J684</f>
        <v>0</v>
      </c>
      <c r="K683" s="140">
        <f>K684</f>
        <v>10.1</v>
      </c>
      <c r="L683" s="140">
        <f>L684</f>
        <v>46</v>
      </c>
    </row>
    <row r="684" spans="1:12" ht="13.5" thickBot="1">
      <c r="A684" s="1831"/>
      <c r="B684" s="1832"/>
      <c r="C684" s="1833"/>
      <c r="D684" s="109"/>
      <c r="E684" s="110">
        <v>0.1</v>
      </c>
      <c r="F684" s="111">
        <v>100</v>
      </c>
      <c r="G684" s="112">
        <v>70</v>
      </c>
      <c r="H684" s="113">
        <f>E684*G684</f>
        <v>7</v>
      </c>
      <c r="I684" s="143"/>
      <c r="J684" s="143"/>
      <c r="K684" s="143">
        <f>(10.1*F684)/100</f>
        <v>10.1</v>
      </c>
      <c r="L684" s="146">
        <f>(F684*46)/100</f>
        <v>46</v>
      </c>
    </row>
    <row r="685" spans="1:12" ht="13.5" thickBot="1">
      <c r="A685" s="1808"/>
      <c r="B685" s="1834"/>
      <c r="C685" s="1835"/>
      <c r="D685" s="927"/>
      <c r="E685" s="21"/>
      <c r="F685" s="21"/>
      <c r="G685" s="22"/>
      <c r="H685" s="23"/>
      <c r="I685" s="1105"/>
      <c r="J685" s="1105"/>
      <c r="K685" s="1106"/>
      <c r="L685" s="1107"/>
    </row>
    <row r="686" spans="1:12" ht="15.75">
      <c r="A686" s="154"/>
      <c r="B686" s="155"/>
      <c r="C686" s="156"/>
      <c r="D686" s="157"/>
      <c r="E686" s="157"/>
      <c r="F686" s="157"/>
      <c r="G686" s="158"/>
      <c r="H686" s="159">
        <f>H683</f>
        <v>7</v>
      </c>
      <c r="I686" s="160"/>
      <c r="J686" s="160"/>
      <c r="K686" s="160"/>
      <c r="L686" s="161"/>
    </row>
    <row r="687" spans="1:12" ht="16.5" thickBot="1">
      <c r="A687" s="1108"/>
      <c r="B687" s="1098" t="s">
        <v>24</v>
      </c>
      <c r="C687" s="1098"/>
      <c r="D687" s="484"/>
      <c r="E687" s="484"/>
      <c r="F687" s="484"/>
      <c r="G687" s="1101"/>
      <c r="H687" s="1109"/>
      <c r="I687" s="1110">
        <f>I684</f>
        <v>0</v>
      </c>
      <c r="J687" s="1110">
        <f>J684</f>
        <v>0</v>
      </c>
      <c r="K687" s="1110">
        <f>K684</f>
        <v>10.1</v>
      </c>
      <c r="L687" s="1111">
        <f>L683/1800</f>
        <v>0.025555555555555557</v>
      </c>
    </row>
    <row r="688" spans="1:14" ht="13.5" thickBot="1">
      <c r="A688" s="1112" t="s">
        <v>67</v>
      </c>
      <c r="B688" s="181" t="s">
        <v>68</v>
      </c>
      <c r="C688" s="178"/>
      <c r="D688" s="185"/>
      <c r="E688" s="179"/>
      <c r="F688" s="179"/>
      <c r="G688" s="150"/>
      <c r="H688" s="150"/>
      <c r="I688" s="133"/>
      <c r="J688" s="181"/>
      <c r="K688" s="182"/>
      <c r="L688" s="183"/>
      <c r="M688" s="345"/>
      <c r="N688" s="466"/>
    </row>
    <row r="689" spans="1:14" ht="12.75" customHeight="1" thickBot="1">
      <c r="A689" s="360"/>
      <c r="B689" s="572"/>
      <c r="C689" s="573"/>
      <c r="D689" s="574"/>
      <c r="E689" s="575"/>
      <c r="F689" s="574"/>
      <c r="G689" s="576"/>
      <c r="H689" s="576"/>
      <c r="I689" s="577"/>
      <c r="J689" s="577"/>
      <c r="K689" s="577"/>
      <c r="L689" s="577"/>
      <c r="M689" s="345"/>
      <c r="N689" s="1113"/>
    </row>
    <row r="690" spans="1:14" ht="13.5" thickBot="1">
      <c r="A690" s="578"/>
      <c r="B690" s="579"/>
      <c r="C690" s="580"/>
      <c r="D690" s="581"/>
      <c r="E690" s="582"/>
      <c r="F690" s="583"/>
      <c r="G690" s="584"/>
      <c r="H690" s="585"/>
      <c r="I690" s="45"/>
      <c r="J690" s="45"/>
      <c r="K690" s="45"/>
      <c r="L690" s="46"/>
      <c r="M690" s="345"/>
      <c r="N690" s="221"/>
    </row>
    <row r="691" spans="1:14" ht="13.5" thickBot="1">
      <c r="A691" s="1836" t="s">
        <v>259</v>
      </c>
      <c r="B691" s="1837"/>
      <c r="C691" s="1838"/>
      <c r="D691" s="829" t="s">
        <v>244</v>
      </c>
      <c r="E691" s="693"/>
      <c r="F691" s="104"/>
      <c r="G691" s="105"/>
      <c r="H691" s="106">
        <f>SUM(H692:H698)</f>
        <v>7.0569999999999995</v>
      </c>
      <c r="I691" s="108">
        <f>SUM(I692:I698)</f>
        <v>2.0020000000000002</v>
      </c>
      <c r="J691" s="108">
        <f>SUM(J692:J698)</f>
        <v>3.056</v>
      </c>
      <c r="K691" s="108">
        <f>SUM(K692:K698)</f>
        <v>11.876999999999999</v>
      </c>
      <c r="L691" s="108">
        <f>SUM(L692:L698)</f>
        <v>83.42999999999999</v>
      </c>
      <c r="M691" s="345"/>
      <c r="N691" s="264"/>
    </row>
    <row r="692" spans="1:14" ht="12.75">
      <c r="A692" s="340" t="s">
        <v>71</v>
      </c>
      <c r="B692" s="493"/>
      <c r="C692" s="493"/>
      <c r="D692" s="515"/>
      <c r="E692" s="190"/>
      <c r="F692" s="191"/>
      <c r="G692" s="192"/>
      <c r="H692" s="193"/>
      <c r="I692" s="495"/>
      <c r="J692" s="495"/>
      <c r="K692" s="495"/>
      <c r="L692" s="496"/>
      <c r="M692" s="345"/>
      <c r="N692" s="705"/>
    </row>
    <row r="693" spans="1:15" ht="12.75">
      <c r="A693" s="318" t="s">
        <v>16</v>
      </c>
      <c r="B693" s="319"/>
      <c r="C693" s="319"/>
      <c r="D693" s="1115"/>
      <c r="E693" s="904">
        <v>0.002</v>
      </c>
      <c r="F693" s="905">
        <v>2</v>
      </c>
      <c r="G693" s="273">
        <v>300</v>
      </c>
      <c r="H693" s="324">
        <f>E693*G693</f>
        <v>0.6</v>
      </c>
      <c r="I693" s="518">
        <f>(F693*1)/100</f>
        <v>0.02</v>
      </c>
      <c r="J693" s="518">
        <f>(F693*72.5)/100</f>
        <v>1.45</v>
      </c>
      <c r="K693" s="518">
        <f>(F693*1.4)/100</f>
        <v>0.027999999999999997</v>
      </c>
      <c r="L693" s="519">
        <f>(F693*662)/100</f>
        <v>13.24</v>
      </c>
      <c r="M693" s="345"/>
      <c r="N693" s="705"/>
      <c r="O693" s="345"/>
    </row>
    <row r="694" spans="1:26" ht="23.25" customHeight="1">
      <c r="A694" s="1117" t="s">
        <v>60</v>
      </c>
      <c r="B694" s="1118"/>
      <c r="C694" s="1118"/>
      <c r="D694" s="260"/>
      <c r="E694" s="1119">
        <v>0.007</v>
      </c>
      <c r="F694" s="1120">
        <v>7</v>
      </c>
      <c r="G694" s="507">
        <v>64</v>
      </c>
      <c r="H694" s="324">
        <f>G694*E694</f>
        <v>0.448</v>
      </c>
      <c r="I694" s="204">
        <f>(12.3*F694)/100</f>
        <v>0.8610000000000001</v>
      </c>
      <c r="J694" s="204">
        <f>(6.2*F694)/100</f>
        <v>0.434</v>
      </c>
      <c r="K694" s="204">
        <f>(61.8*F694)/100</f>
        <v>4.326</v>
      </c>
      <c r="L694" s="205">
        <f>(352*F694)/100</f>
        <v>24.64</v>
      </c>
      <c r="M694" s="345"/>
      <c r="N694" s="705"/>
      <c r="O694" s="1113"/>
      <c r="P694" s="1113"/>
      <c r="Q694" s="314"/>
      <c r="R694" s="831"/>
      <c r="S694" s="831"/>
      <c r="T694" s="267"/>
      <c r="U694" s="316"/>
      <c r="V694" s="317"/>
      <c r="W694" s="317"/>
      <c r="X694" s="317"/>
      <c r="Y694" s="317"/>
      <c r="Z694" s="207"/>
    </row>
    <row r="695" spans="1:26" ht="12.75">
      <c r="A695" s="318" t="s">
        <v>32</v>
      </c>
      <c r="B695" s="319"/>
      <c r="C695" s="907"/>
      <c r="D695" s="1121"/>
      <c r="E695" s="904">
        <v>0.06</v>
      </c>
      <c r="F695" s="905">
        <v>35</v>
      </c>
      <c r="G695" s="273">
        <v>56</v>
      </c>
      <c r="H695" s="324">
        <f>E695*G695</f>
        <v>3.36</v>
      </c>
      <c r="I695" s="204">
        <f>(F695*2)/100</f>
        <v>0.7</v>
      </c>
      <c r="J695" s="204">
        <f>(F695*0.4)/100</f>
        <v>0.14</v>
      </c>
      <c r="K695" s="204">
        <f>(F695*16.3)/100</f>
        <v>5.705</v>
      </c>
      <c r="L695" s="274">
        <f>(F695*77)/100</f>
        <v>26.95</v>
      </c>
      <c r="M695" s="345"/>
      <c r="N695" s="705"/>
      <c r="O695" s="57"/>
      <c r="P695" s="57"/>
      <c r="Q695" s="207"/>
      <c r="R695" s="222"/>
      <c r="S695" s="223"/>
      <c r="T695" s="209"/>
      <c r="U695" s="224"/>
      <c r="V695" s="152"/>
      <c r="W695" s="152"/>
      <c r="X695" s="152"/>
      <c r="Y695" s="152"/>
      <c r="Z695" s="152"/>
    </row>
    <row r="696" spans="1:26" ht="12.75" customHeight="1">
      <c r="A696" s="248" t="s">
        <v>33</v>
      </c>
      <c r="B696" s="249"/>
      <c r="C696" s="1122"/>
      <c r="D696" s="260"/>
      <c r="E696" s="709">
        <v>0.013000000000000001</v>
      </c>
      <c r="F696" s="204">
        <v>10</v>
      </c>
      <c r="G696" s="507">
        <v>63</v>
      </c>
      <c r="H696" s="324">
        <f>E696*G696</f>
        <v>0.8190000000000001</v>
      </c>
      <c r="I696" s="204">
        <f>(F696*1.4)/100</f>
        <v>0.14</v>
      </c>
      <c r="J696" s="204">
        <f>(F696*0.2)/100</f>
        <v>0.02</v>
      </c>
      <c r="K696" s="204">
        <f>(F696*8.2)/100</f>
        <v>0.82</v>
      </c>
      <c r="L696" s="205">
        <f>(F696*41)/100</f>
        <v>4.1</v>
      </c>
      <c r="M696" s="345"/>
      <c r="N696" s="264"/>
      <c r="O696" s="266"/>
      <c r="P696" s="266"/>
      <c r="Q696" s="314"/>
      <c r="R696" s="1116"/>
      <c r="S696" s="1392"/>
      <c r="T696" s="267"/>
      <c r="U696" s="288"/>
      <c r="V696" s="233"/>
      <c r="W696" s="233"/>
      <c r="X696" s="233"/>
      <c r="Y696" s="233"/>
      <c r="Z696" s="233"/>
    </row>
    <row r="697" spans="1:26" ht="12.75">
      <c r="A697" s="248" t="s">
        <v>34</v>
      </c>
      <c r="B697" s="249"/>
      <c r="C697" s="1122"/>
      <c r="D697" s="260"/>
      <c r="E697" s="709">
        <v>0.015</v>
      </c>
      <c r="F697" s="204">
        <v>12</v>
      </c>
      <c r="G697" s="507">
        <v>70</v>
      </c>
      <c r="H697" s="324">
        <f>G697*E697</f>
        <v>1.05</v>
      </c>
      <c r="I697" s="204">
        <f>(F697*1.3)/100</f>
        <v>0.15600000000000003</v>
      </c>
      <c r="J697" s="204">
        <f>(F697*0.1)/100</f>
        <v>0.012000000000000002</v>
      </c>
      <c r="K697" s="204">
        <f>(F697*6.9)/100</f>
        <v>0.8280000000000001</v>
      </c>
      <c r="L697" s="274">
        <f>(F697*35)/100</f>
        <v>4.2</v>
      </c>
      <c r="M697" s="345"/>
      <c r="N697" s="264"/>
      <c r="O697" s="705"/>
      <c r="P697" s="705"/>
      <c r="Q697" s="325"/>
      <c r="R697" s="326"/>
      <c r="S697" s="264"/>
      <c r="T697" s="288"/>
      <c r="U697" s="288"/>
      <c r="V697" s="269"/>
      <c r="W697" s="269"/>
      <c r="X697" s="269"/>
      <c r="Y697" s="269"/>
      <c r="Z697" s="237"/>
    </row>
    <row r="698" spans="1:26" ht="13.5" thickBot="1">
      <c r="A698" s="999" t="s">
        <v>72</v>
      </c>
      <c r="B698" s="1000"/>
      <c r="C698" s="1000"/>
      <c r="D698" s="289"/>
      <c r="E698" s="1123">
        <v>0.005</v>
      </c>
      <c r="F698" s="1124">
        <v>5</v>
      </c>
      <c r="G698" s="1125">
        <v>156</v>
      </c>
      <c r="H698" s="1125">
        <f>E698*G698</f>
        <v>0.78</v>
      </c>
      <c r="I698" s="834">
        <f>(2.5*F698)/100</f>
        <v>0.125</v>
      </c>
      <c r="J698" s="834">
        <f>(20*F698)/100</f>
        <v>1</v>
      </c>
      <c r="K698" s="834">
        <f>(3.4*F698)/100</f>
        <v>0.17</v>
      </c>
      <c r="L698" s="220">
        <f>(206*F698)/100</f>
        <v>10.3</v>
      </c>
      <c r="M698" s="345"/>
      <c r="N698" s="264"/>
      <c r="O698" s="705"/>
      <c r="P698" s="705"/>
      <c r="Q698" s="325"/>
      <c r="R698" s="326"/>
      <c r="S698" s="264"/>
      <c r="T698" s="288"/>
      <c r="U698" s="288"/>
      <c r="V698" s="269"/>
      <c r="W698" s="269"/>
      <c r="X698" s="269"/>
      <c r="Y698" s="269"/>
      <c r="Z698" s="237"/>
    </row>
    <row r="699" spans="1:26" ht="13.5" thickBot="1">
      <c r="A699" s="1792" t="s">
        <v>164</v>
      </c>
      <c r="B699" s="1839"/>
      <c r="C699" s="1839"/>
      <c r="D699" s="20">
        <v>70</v>
      </c>
      <c r="E699" s="21"/>
      <c r="F699" s="719"/>
      <c r="G699" s="718"/>
      <c r="H699" s="106">
        <f>H700+H701+H702+H704+H705+H703</f>
        <v>26.047</v>
      </c>
      <c r="I699" s="108">
        <f>I700+I701+I702+I704+I705+I703</f>
        <v>13.865</v>
      </c>
      <c r="J699" s="108">
        <f>J700+J701+J702+J704+J705+J703</f>
        <v>17.582</v>
      </c>
      <c r="K699" s="108">
        <f>K700+K701+K702+K704+K705+K703</f>
        <v>5.933</v>
      </c>
      <c r="L699" s="108">
        <f>L700+L701+L702+L704+L705+L703</f>
        <v>238.56</v>
      </c>
      <c r="M699" s="345"/>
      <c r="N699" s="264"/>
      <c r="O699" s="705"/>
      <c r="P699" s="705"/>
      <c r="Q699" s="325"/>
      <c r="R699" s="326"/>
      <c r="S699" s="264"/>
      <c r="T699" s="288"/>
      <c r="U699" s="288"/>
      <c r="V699" s="269"/>
      <c r="W699" s="269"/>
      <c r="X699" s="269"/>
      <c r="Y699" s="269"/>
      <c r="Z699" s="237"/>
    </row>
    <row r="700" spans="1:26" ht="12.75">
      <c r="A700" s="340" t="s">
        <v>245</v>
      </c>
      <c r="B700" s="493"/>
      <c r="C700" s="493"/>
      <c r="D700" s="515"/>
      <c r="E700" s="190">
        <v>0.09</v>
      </c>
      <c r="F700" s="191">
        <v>65</v>
      </c>
      <c r="G700" s="192">
        <v>240</v>
      </c>
      <c r="H700" s="193">
        <f>G700*E700</f>
        <v>21.599999999999998</v>
      </c>
      <c r="I700" s="495">
        <f>(F700*18.2)/100</f>
        <v>11.83</v>
      </c>
      <c r="J700" s="495">
        <f>(F700*18.4)/100</f>
        <v>11.96</v>
      </c>
      <c r="K700" s="495"/>
      <c r="L700" s="496">
        <f>(F700*238)/100</f>
        <v>154.7</v>
      </c>
      <c r="M700" s="345"/>
      <c r="N700" s="275"/>
      <c r="O700" s="705"/>
      <c r="P700" s="705"/>
      <c r="Q700" s="325"/>
      <c r="R700" s="326"/>
      <c r="S700" s="264"/>
      <c r="T700" s="288"/>
      <c r="U700" s="288"/>
      <c r="V700" s="269"/>
      <c r="W700" s="269"/>
      <c r="X700" s="269"/>
      <c r="Y700" s="269"/>
      <c r="Z700" s="237"/>
    </row>
    <row r="701" spans="1:26" ht="12.75">
      <c r="A701" s="516" t="s">
        <v>16</v>
      </c>
      <c r="B701" s="341"/>
      <c r="C701" s="341"/>
      <c r="D701" s="517"/>
      <c r="E701" s="448">
        <v>0.002</v>
      </c>
      <c r="F701" s="78">
        <v>2</v>
      </c>
      <c r="G701" s="79">
        <v>300</v>
      </c>
      <c r="H701" s="79">
        <f>E701*G701</f>
        <v>0.6</v>
      </c>
      <c r="I701" s="518">
        <f>(F701*1)/100</f>
        <v>0.02</v>
      </c>
      <c r="J701" s="518">
        <f>(F701*72.5)/100</f>
        <v>1.45</v>
      </c>
      <c r="K701" s="518">
        <f>(F701*1.4)/100</f>
        <v>0.027999999999999997</v>
      </c>
      <c r="L701" s="519">
        <f>(F701*662)/100</f>
        <v>13.24</v>
      </c>
      <c r="M701" s="345"/>
      <c r="N701" s="275"/>
      <c r="O701" s="266"/>
      <c r="P701" s="266"/>
      <c r="Q701" s="314"/>
      <c r="R701" s="1116"/>
      <c r="S701" s="268"/>
      <c r="T701" s="267"/>
      <c r="U701" s="288"/>
      <c r="V701" s="268"/>
      <c r="W701" s="268"/>
      <c r="X701" s="268"/>
      <c r="Y701" s="268"/>
      <c r="Z701" s="237"/>
    </row>
    <row r="702" spans="1:26" ht="12.75">
      <c r="A702" s="429" t="s">
        <v>48</v>
      </c>
      <c r="B702" s="430"/>
      <c r="C702" s="430"/>
      <c r="D702" s="520"/>
      <c r="E702" s="212">
        <v>0.01</v>
      </c>
      <c r="F702" s="213">
        <v>10</v>
      </c>
      <c r="G702" s="214">
        <v>64</v>
      </c>
      <c r="H702" s="1454">
        <f>E702*G702</f>
        <v>0.64</v>
      </c>
      <c r="I702" s="455">
        <f>(F702*8)/100</f>
        <v>0.8</v>
      </c>
      <c r="J702" s="455">
        <f>(F702*1)/100</f>
        <v>0.1</v>
      </c>
      <c r="K702" s="455">
        <f>(F702*49.1)/100</f>
        <v>4.91</v>
      </c>
      <c r="L702" s="456">
        <f>(F702*238)/100</f>
        <v>23.8</v>
      </c>
      <c r="M702" s="345"/>
      <c r="N702" s="275"/>
      <c r="O702" s="266"/>
      <c r="P702" s="266"/>
      <c r="Q702" s="314"/>
      <c r="R702" s="1116"/>
      <c r="S702" s="268"/>
      <c r="T702" s="267"/>
      <c r="U702" s="288"/>
      <c r="V702" s="268"/>
      <c r="W702" s="268"/>
      <c r="X702" s="268"/>
      <c r="Y702" s="269"/>
      <c r="Z702" s="237"/>
    </row>
    <row r="703" spans="1:26" ht="12.75">
      <c r="A703" s="340" t="s">
        <v>37</v>
      </c>
      <c r="B703" s="341"/>
      <c r="C703" s="341"/>
      <c r="D703" s="517"/>
      <c r="E703" s="448">
        <v>0.003</v>
      </c>
      <c r="F703" s="80">
        <v>3</v>
      </c>
      <c r="G703" s="79">
        <v>129</v>
      </c>
      <c r="H703" s="79">
        <f>E703*G703</f>
        <v>0.387</v>
      </c>
      <c r="I703" s="521"/>
      <c r="J703" s="455">
        <f>(F703*99.9)/100</f>
        <v>2.9970000000000003</v>
      </c>
      <c r="K703" s="80"/>
      <c r="L703" s="522">
        <f>(F703*899)/100</f>
        <v>26.97</v>
      </c>
      <c r="M703" s="345"/>
      <c r="N703" s="275"/>
      <c r="O703" s="266"/>
      <c r="P703" s="266"/>
      <c r="Q703" s="314"/>
      <c r="R703" s="315"/>
      <c r="S703" s="266"/>
      <c r="T703" s="267"/>
      <c r="U703" s="267"/>
      <c r="V703" s="332"/>
      <c r="W703" s="332"/>
      <c r="X703" s="291"/>
      <c r="Y703" s="1018"/>
      <c r="Z703" s="237"/>
    </row>
    <row r="704" spans="1:26" ht="12.75">
      <c r="A704" s="217" t="s">
        <v>18</v>
      </c>
      <c r="B704" s="218"/>
      <c r="C704" s="218"/>
      <c r="D704" s="219"/>
      <c r="E704" s="77">
        <v>0.02</v>
      </c>
      <c r="F704" s="78">
        <v>20</v>
      </c>
      <c r="G704" s="53">
        <v>72</v>
      </c>
      <c r="H704" s="97">
        <f>E704*G704</f>
        <v>1.44</v>
      </c>
      <c r="I704" s="63">
        <f>(2.9*F704)/100</f>
        <v>0.58</v>
      </c>
      <c r="J704" s="63">
        <f>(F704*2.5)/100</f>
        <v>0.5</v>
      </c>
      <c r="K704" s="63">
        <f>(4.8*F704)/100</f>
        <v>0.96</v>
      </c>
      <c r="L704" s="64">
        <f>(F704*60)/100</f>
        <v>12</v>
      </c>
      <c r="M704" s="345"/>
      <c r="N704" s="275"/>
      <c r="O704" s="221"/>
      <c r="P704" s="221"/>
      <c r="Q704" s="221"/>
      <c r="R704" s="247"/>
      <c r="S704" s="222"/>
      <c r="T704" s="223"/>
      <c r="U704" s="209"/>
      <c r="V704" s="224"/>
      <c r="W704" s="223"/>
      <c r="X704" s="223"/>
      <c r="Y704" s="223"/>
      <c r="Z704" s="237"/>
    </row>
    <row r="705" spans="1:26" ht="13.5" thickBot="1">
      <c r="A705" s="523" t="s">
        <v>46</v>
      </c>
      <c r="B705" s="524"/>
      <c r="C705" s="525"/>
      <c r="D705" s="526"/>
      <c r="E705" s="527">
        <v>0.006</v>
      </c>
      <c r="F705" s="528">
        <v>5</v>
      </c>
      <c r="G705" s="229">
        <v>230</v>
      </c>
      <c r="H705" s="529">
        <f>E705*G705</f>
        <v>1.3800000000000001</v>
      </c>
      <c r="I705" s="530">
        <f>(12.7*F705)/100</f>
        <v>0.635</v>
      </c>
      <c r="J705" s="530">
        <f>(F705*11.5)/100</f>
        <v>0.575</v>
      </c>
      <c r="K705" s="530">
        <f>(F705*0.7)/100</f>
        <v>0.035</v>
      </c>
      <c r="L705" s="531">
        <f>(157*F705)/100</f>
        <v>7.85</v>
      </c>
      <c r="M705" s="345"/>
      <c r="N705" s="275"/>
      <c r="O705" s="221"/>
      <c r="P705" s="221"/>
      <c r="Q705" s="221"/>
      <c r="R705" s="247"/>
      <c r="S705" s="1052"/>
      <c r="T705" s="57"/>
      <c r="U705" s="209"/>
      <c r="V705" s="209"/>
      <c r="W705" s="207"/>
      <c r="X705" s="207"/>
      <c r="Y705" s="207"/>
      <c r="Z705" s="207"/>
    </row>
    <row r="706" spans="1:15" ht="13.5" thickBot="1">
      <c r="A706" s="1840" t="s">
        <v>165</v>
      </c>
      <c r="B706" s="1828"/>
      <c r="C706" s="1841"/>
      <c r="D706" s="927">
        <v>120</v>
      </c>
      <c r="E706" s="312"/>
      <c r="F706" s="282"/>
      <c r="G706" s="283"/>
      <c r="H706" s="284">
        <f>H707+H708+H709+H710+H711+H713+H714+H712</f>
        <v>14.748000000000001</v>
      </c>
      <c r="I706" s="1127">
        <f>I707+I708+I709+I710+I711+I713+I714+I712</f>
        <v>3.024</v>
      </c>
      <c r="J706" s="1127">
        <f>J707+J708+J709+J710+J711+J713+J714+J712</f>
        <v>5.755</v>
      </c>
      <c r="K706" s="1127">
        <f>K707+K708+K709+K710+K711+K713+K714+K712</f>
        <v>14.7628</v>
      </c>
      <c r="L706" s="1127">
        <f>L707+L708+L709+L710+L711+L713+L714+L712</f>
        <v>119.74360000000001</v>
      </c>
      <c r="M706" s="345"/>
      <c r="N706" s="275"/>
      <c r="O706" s="345"/>
    </row>
    <row r="707" spans="1:15" ht="12.75">
      <c r="A707" s="248" t="s">
        <v>16</v>
      </c>
      <c r="B707" s="249"/>
      <c r="C707" s="250"/>
      <c r="D707" s="251"/>
      <c r="E707" s="252">
        <v>0.003</v>
      </c>
      <c r="F707" s="253">
        <v>3</v>
      </c>
      <c r="G707" s="254">
        <v>300</v>
      </c>
      <c r="H707" s="255">
        <f>E707*G707</f>
        <v>0.9</v>
      </c>
      <c r="I707" s="45">
        <f>(F707*1)/100</f>
        <v>0.03</v>
      </c>
      <c r="J707" s="45">
        <f>(F707*72.5)/100</f>
        <v>2.175</v>
      </c>
      <c r="K707" s="45">
        <f>(F707*1.4)/100</f>
        <v>0.041999999999999996</v>
      </c>
      <c r="L707" s="46">
        <f>(F707*662)/100</f>
        <v>19.86</v>
      </c>
      <c r="M707" s="345"/>
      <c r="N707" s="275"/>
      <c r="O707" s="345"/>
    </row>
    <row r="708" spans="1:15" ht="12.75">
      <c r="A708" s="248" t="s">
        <v>37</v>
      </c>
      <c r="B708" s="250"/>
      <c r="C708" s="250"/>
      <c r="D708" s="251"/>
      <c r="E708" s="51">
        <v>0.003</v>
      </c>
      <c r="F708" s="256">
        <v>3</v>
      </c>
      <c r="G708" s="53">
        <v>129</v>
      </c>
      <c r="H708" s="144">
        <f>E708*G708</f>
        <v>0.387</v>
      </c>
      <c r="I708" s="257"/>
      <c r="J708" s="258">
        <f>(F708*99.9)/100</f>
        <v>2.9970000000000003</v>
      </c>
      <c r="K708" s="54"/>
      <c r="L708" s="259">
        <f>(F708*899)/100</f>
        <v>26.97</v>
      </c>
      <c r="M708" s="345"/>
      <c r="N708" s="275"/>
      <c r="O708" s="345"/>
    </row>
    <row r="709" spans="1:15" ht="12.75">
      <c r="A709" s="248" t="s">
        <v>32</v>
      </c>
      <c r="B709" s="249"/>
      <c r="C709" s="249"/>
      <c r="D709" s="260"/>
      <c r="E709" s="261">
        <v>0.085</v>
      </c>
      <c r="F709" s="262">
        <v>60</v>
      </c>
      <c r="G709" s="112">
        <v>56</v>
      </c>
      <c r="H709" s="112">
        <f>E709*G709</f>
        <v>4.760000000000001</v>
      </c>
      <c r="I709" s="204">
        <f>(F709*2)/100</f>
        <v>1.2</v>
      </c>
      <c r="J709" s="204">
        <f>(F709*0.4)/100</f>
        <v>0.24</v>
      </c>
      <c r="K709" s="204">
        <f>(F709*16.3)/100</f>
        <v>9.78</v>
      </c>
      <c r="L709" s="274">
        <f>(F709*77)/100</f>
        <v>46.2</v>
      </c>
      <c r="M709" s="345"/>
      <c r="N709" s="275"/>
      <c r="O709" s="345"/>
    </row>
    <row r="710" spans="1:15" ht="12.75">
      <c r="A710" s="248" t="s">
        <v>38</v>
      </c>
      <c r="B710" s="249"/>
      <c r="C710" s="249"/>
      <c r="D710" s="260"/>
      <c r="E710" s="261">
        <v>0.07</v>
      </c>
      <c r="F710" s="262">
        <v>55</v>
      </c>
      <c r="G710" s="112">
        <v>56</v>
      </c>
      <c r="H710" s="112">
        <f>G710*E710</f>
        <v>3.9200000000000004</v>
      </c>
      <c r="I710" s="111">
        <f>(1.8*F710)/100</f>
        <v>0.99</v>
      </c>
      <c r="J710" s="111">
        <f>(F710*0.1)/100</f>
        <v>0.055</v>
      </c>
      <c r="K710" s="111">
        <f>(F710*4.7)/100</f>
        <v>2.585</v>
      </c>
      <c r="L710" s="263">
        <f>(F710*28)/100</f>
        <v>15.4</v>
      </c>
      <c r="M710" s="345"/>
      <c r="N710" s="275"/>
      <c r="O710" s="345"/>
    </row>
    <row r="711" spans="1:15" ht="12.75">
      <c r="A711" s="248" t="s">
        <v>33</v>
      </c>
      <c r="B711" s="249"/>
      <c r="C711" s="249"/>
      <c r="D711" s="260"/>
      <c r="E711" s="261">
        <v>0.015</v>
      </c>
      <c r="F711" s="262">
        <v>12</v>
      </c>
      <c r="G711" s="112">
        <v>63</v>
      </c>
      <c r="H711" s="112">
        <f>G711*E711</f>
        <v>0.945</v>
      </c>
      <c r="I711" s="204">
        <f>(F711*1.4)/100</f>
        <v>0.16799999999999998</v>
      </c>
      <c r="J711" s="204">
        <f>(F711*0.2)/100</f>
        <v>0.024000000000000004</v>
      </c>
      <c r="K711" s="204">
        <f>(F711*8.2)/100</f>
        <v>0.9839999999999999</v>
      </c>
      <c r="L711" s="205">
        <f>(F711*41)/100</f>
        <v>4.92</v>
      </c>
      <c r="M711" s="345"/>
      <c r="N711" s="275"/>
      <c r="O711" s="345"/>
    </row>
    <row r="712" spans="1:15" ht="12.75">
      <c r="A712" s="248" t="s">
        <v>166</v>
      </c>
      <c r="B712" s="249"/>
      <c r="C712" s="249"/>
      <c r="D712" s="260"/>
      <c r="E712" s="261">
        <v>0.02</v>
      </c>
      <c r="F712" s="262">
        <v>12</v>
      </c>
      <c r="G712" s="112">
        <v>126</v>
      </c>
      <c r="H712" s="112">
        <f>G712*E712</f>
        <v>2.52</v>
      </c>
      <c r="I712" s="507">
        <f>(F712*3.2)/100</f>
        <v>0.38400000000000006</v>
      </c>
      <c r="J712" s="507">
        <f>(G712*0.2)/100</f>
        <v>0.252</v>
      </c>
      <c r="K712" s="507">
        <f>(H712*6.5)/100</f>
        <v>0.1638</v>
      </c>
      <c r="L712" s="507">
        <f>(I712*40)/100</f>
        <v>0.15360000000000004</v>
      </c>
      <c r="M712" s="345"/>
      <c r="N712" s="275"/>
      <c r="O712" s="345"/>
    </row>
    <row r="713" spans="1:15" ht="12.75">
      <c r="A713" s="248" t="s">
        <v>34</v>
      </c>
      <c r="B713" s="249"/>
      <c r="C713" s="249"/>
      <c r="D713" s="260"/>
      <c r="E713" s="271">
        <v>0.015</v>
      </c>
      <c r="F713" s="272">
        <v>12</v>
      </c>
      <c r="G713" s="273">
        <v>70</v>
      </c>
      <c r="H713" s="273">
        <f>E713*G713</f>
        <v>1.05</v>
      </c>
      <c r="I713" s="204">
        <f>(F713*1.3)/100</f>
        <v>0.15600000000000003</v>
      </c>
      <c r="J713" s="204">
        <f>(F713*0.1)/100</f>
        <v>0.012000000000000002</v>
      </c>
      <c r="K713" s="204">
        <f>(F713*6.9)/100</f>
        <v>0.8280000000000001</v>
      </c>
      <c r="L713" s="274">
        <f>(F713*35)/100</f>
        <v>4.2</v>
      </c>
      <c r="M713" s="345"/>
      <c r="N713" s="275"/>
      <c r="O713" s="345"/>
    </row>
    <row r="714" spans="1:15" ht="13.5" thickBot="1">
      <c r="A714" s="225" t="s">
        <v>78</v>
      </c>
      <c r="B714" s="1128"/>
      <c r="C714" s="1128"/>
      <c r="D714" s="1129"/>
      <c r="E714" s="1130">
        <v>0.002</v>
      </c>
      <c r="F714" s="1131">
        <v>2</v>
      </c>
      <c r="G714" s="1132">
        <v>133</v>
      </c>
      <c r="H714" s="1132">
        <f>G714*E714</f>
        <v>0.266</v>
      </c>
      <c r="I714" s="1133">
        <f>(4.8*F714)/100</f>
        <v>0.096</v>
      </c>
      <c r="J714" s="1133"/>
      <c r="K714" s="1133">
        <f>(19*F714)/100</f>
        <v>0.38</v>
      </c>
      <c r="L714" s="1134">
        <f>(102*F714)/100</f>
        <v>2.04</v>
      </c>
      <c r="M714" s="345"/>
      <c r="N714" s="275"/>
      <c r="O714" s="345"/>
    </row>
    <row r="715" spans="1:15" ht="13.5" thickBot="1">
      <c r="A715" s="1776" t="s">
        <v>39</v>
      </c>
      <c r="B715" s="1828"/>
      <c r="C715" s="1828"/>
      <c r="D715" s="103">
        <v>150</v>
      </c>
      <c r="E715" s="331"/>
      <c r="F715" s="331"/>
      <c r="G715" s="105"/>
      <c r="H715" s="106">
        <f>H716+H717</f>
        <v>5.174</v>
      </c>
      <c r="I715" s="108">
        <f>I716+I717</f>
        <v>0.20800000000000002</v>
      </c>
      <c r="J715" s="108">
        <f>J716+J717</f>
        <v>0.09100000000000001</v>
      </c>
      <c r="K715" s="108">
        <f>K716+K717</f>
        <v>15.886</v>
      </c>
      <c r="L715" s="108">
        <f>L716+L717</f>
        <v>63.440000000000005</v>
      </c>
      <c r="N715" s="206"/>
      <c r="O715" s="345"/>
    </row>
    <row r="716" spans="1:15" ht="12.75">
      <c r="A716" s="538" t="s">
        <v>40</v>
      </c>
      <c r="B716" s="539"/>
      <c r="C716" s="540"/>
      <c r="D716" s="541"/>
      <c r="E716" s="261">
        <v>0.013000000000000001</v>
      </c>
      <c r="F716" s="262">
        <v>13</v>
      </c>
      <c r="G716" s="112">
        <v>308</v>
      </c>
      <c r="H716" s="113">
        <f>E716*G716</f>
        <v>4.0040000000000004</v>
      </c>
      <c r="I716" s="111">
        <f>(F716*1.6)/100</f>
        <v>0.20800000000000002</v>
      </c>
      <c r="J716" s="111">
        <f>(0.7*F716)/100</f>
        <v>0.09100000000000001</v>
      </c>
      <c r="K716" s="111">
        <f>(22.4*F716)/100</f>
        <v>2.912</v>
      </c>
      <c r="L716" s="263">
        <f>(109*F716)/100</f>
        <v>14.17</v>
      </c>
      <c r="N716" s="221"/>
      <c r="O716" s="345"/>
    </row>
    <row r="717" spans="1:15" ht="13.5" thickBot="1">
      <c r="A717" s="340" t="s">
        <v>17</v>
      </c>
      <c r="B717" s="493"/>
      <c r="C717" s="542"/>
      <c r="D717" s="543"/>
      <c r="E717" s="544">
        <v>0.013000000000000001</v>
      </c>
      <c r="F717" s="545">
        <v>13</v>
      </c>
      <c r="G717" s="546">
        <v>90</v>
      </c>
      <c r="H717" s="33">
        <f>E717*G717</f>
        <v>1.1700000000000002</v>
      </c>
      <c r="I717" s="358"/>
      <c r="J717" s="358"/>
      <c r="K717" s="358">
        <f>(F717*99.8)/100</f>
        <v>12.973999999999998</v>
      </c>
      <c r="L717" s="359">
        <f>(F717*379)/100</f>
        <v>49.27</v>
      </c>
      <c r="N717" s="221"/>
      <c r="O717" s="345"/>
    </row>
    <row r="718" spans="1:15" ht="13.5" thickBot="1">
      <c r="A718" s="1774" t="s">
        <v>41</v>
      </c>
      <c r="B718" s="1842"/>
      <c r="C718" s="1843"/>
      <c r="D718" s="927">
        <v>30</v>
      </c>
      <c r="E718" s="66">
        <v>0.03</v>
      </c>
      <c r="F718" s="21">
        <v>30</v>
      </c>
      <c r="G718" s="22">
        <v>35</v>
      </c>
      <c r="H718" s="23">
        <f>E718*G718</f>
        <v>1.05</v>
      </c>
      <c r="I718" s="294">
        <f>(6.6*F718)/100</f>
        <v>1.98</v>
      </c>
      <c r="J718" s="294">
        <f>(1.2*F718)/100</f>
        <v>0.36</v>
      </c>
      <c r="K718" s="294">
        <f>(33.4*F718)/100</f>
        <v>10.02</v>
      </c>
      <c r="L718" s="67">
        <f>(174*F718)/100</f>
        <v>52.2</v>
      </c>
      <c r="O718" s="345"/>
    </row>
    <row r="719" spans="1:15" ht="13.5" thickBot="1">
      <c r="A719" s="1776" t="s">
        <v>42</v>
      </c>
      <c r="B719" s="1828"/>
      <c r="C719" s="1844"/>
      <c r="D719" s="853">
        <v>20</v>
      </c>
      <c r="E719" s="66">
        <v>0.02</v>
      </c>
      <c r="F719" s="21">
        <v>20</v>
      </c>
      <c r="G719" s="22">
        <v>64</v>
      </c>
      <c r="H719" s="23">
        <f>E719*G719</f>
        <v>1.28</v>
      </c>
      <c r="I719" s="294">
        <f>(F719*8)/100</f>
        <v>1.6</v>
      </c>
      <c r="J719" s="294">
        <f>(F719*1)/100</f>
        <v>0.2</v>
      </c>
      <c r="K719" s="294">
        <f>(F719*49.1)/100</f>
        <v>9.82</v>
      </c>
      <c r="L719" s="67">
        <f>(F719*238)/100</f>
        <v>47.6</v>
      </c>
      <c r="O719" s="345"/>
    </row>
    <row r="720" spans="1:12" ht="15.75">
      <c r="A720" s="1142"/>
      <c r="B720" s="1143"/>
      <c r="C720" s="303" t="s">
        <v>43</v>
      </c>
      <c r="D720" s="304"/>
      <c r="E720" s="303"/>
      <c r="F720" s="303"/>
      <c r="G720" s="305"/>
      <c r="H720" s="305">
        <f>H719+H718+H715+H706+H699+H691</f>
        <v>55.35600000000001</v>
      </c>
      <c r="I720" s="306"/>
      <c r="J720" s="1144"/>
      <c r="K720" s="1144"/>
      <c r="L720" s="1145"/>
    </row>
    <row r="721" spans="1:12" ht="16.5" thickBot="1">
      <c r="A721" s="1108"/>
      <c r="B721" s="1098" t="s">
        <v>24</v>
      </c>
      <c r="C721" s="1098"/>
      <c r="D721" s="484"/>
      <c r="E721" s="1098"/>
      <c r="F721" s="1098"/>
      <c r="G721" s="1101"/>
      <c r="H721" s="1101"/>
      <c r="I721" s="1146">
        <f>I719+I718+I715+I706+I699+I691</f>
        <v>22.679</v>
      </c>
      <c r="J721" s="1146">
        <f>J719+J718+J715+J706+J699+J691</f>
        <v>27.044</v>
      </c>
      <c r="K721" s="1146">
        <f>K719+K718+K715+K706+K699+K691</f>
        <v>68.2988</v>
      </c>
      <c r="L721" s="1146">
        <f>L719+L718+L715+L706+L699+L691</f>
        <v>604.9735999999999</v>
      </c>
    </row>
    <row r="722" spans="1:12" ht="12.75">
      <c r="A722" s="28"/>
      <c r="B722" s="28"/>
      <c r="C722" s="28"/>
      <c r="D722" s="149"/>
      <c r="E722" s="28"/>
      <c r="F722" s="28"/>
      <c r="G722" s="150"/>
      <c r="H722" s="150"/>
      <c r="I722" s="152"/>
      <c r="J722" s="152"/>
      <c r="K722" s="152"/>
      <c r="L722" s="1147">
        <f>L721/1400</f>
        <v>0.43212399999999995</v>
      </c>
    </row>
    <row r="723" spans="1:14" ht="13.5" thickBot="1">
      <c r="A723" s="133" t="s">
        <v>44</v>
      </c>
      <c r="B723" s="133" t="s">
        <v>105</v>
      </c>
      <c r="C723" s="28"/>
      <c r="D723" s="149"/>
      <c r="E723" s="28"/>
      <c r="F723" s="28"/>
      <c r="G723" s="28"/>
      <c r="H723" s="28"/>
      <c r="I723" s="133"/>
      <c r="J723" s="133"/>
      <c r="K723" s="150"/>
      <c r="L723" s="152"/>
      <c r="N723" s="206"/>
    </row>
    <row r="724" spans="1:14" ht="13.5" thickBot="1">
      <c r="A724" s="1845" t="s">
        <v>260</v>
      </c>
      <c r="B724" s="1846"/>
      <c r="C724" s="1847"/>
      <c r="D724" s="281">
        <v>60</v>
      </c>
      <c r="E724" s="282"/>
      <c r="F724" s="282"/>
      <c r="G724" s="283"/>
      <c r="H724" s="284">
        <f>SUM(H725:H732)</f>
        <v>28.994</v>
      </c>
      <c r="I724" s="745">
        <f>SUM(I725:I732)</f>
        <v>12.818000000000001</v>
      </c>
      <c r="J724" s="745">
        <f>SUM(J725:J732)</f>
        <v>4.633</v>
      </c>
      <c r="K724" s="745">
        <f>SUM(K725:K732)</f>
        <v>8.13</v>
      </c>
      <c r="L724" s="285">
        <f>SUM(L725:L732)</f>
        <v>126.77</v>
      </c>
      <c r="N724" s="206"/>
    </row>
    <row r="725" spans="1:14" ht="12.75">
      <c r="A725" s="248" t="s">
        <v>107</v>
      </c>
      <c r="B725" s="249"/>
      <c r="C725" s="249"/>
      <c r="D725" s="260"/>
      <c r="E725" s="261">
        <v>0.08</v>
      </c>
      <c r="F725" s="262">
        <v>60</v>
      </c>
      <c r="G725" s="112">
        <v>300</v>
      </c>
      <c r="H725" s="112">
        <f>E725*G725</f>
        <v>24</v>
      </c>
      <c r="I725" s="111">
        <f>(F725*17.2)/100</f>
        <v>10.32</v>
      </c>
      <c r="J725" s="111">
        <f>(0.5*F725)/100</f>
        <v>0.3</v>
      </c>
      <c r="K725" s="111"/>
      <c r="L725" s="909">
        <f>(73*F725)/100</f>
        <v>43.8</v>
      </c>
      <c r="N725" s="206"/>
    </row>
    <row r="726" spans="1:14" ht="12.75">
      <c r="A726" s="340" t="s">
        <v>33</v>
      </c>
      <c r="B726" s="341"/>
      <c r="C726" s="341"/>
      <c r="D726" s="725"/>
      <c r="E726" s="562">
        <v>0.013000000000000001</v>
      </c>
      <c r="F726" s="564">
        <v>10</v>
      </c>
      <c r="G726" s="726">
        <v>63</v>
      </c>
      <c r="H726" s="535">
        <f>G726*E726</f>
        <v>0.8190000000000001</v>
      </c>
      <c r="I726" s="834">
        <f>(F726*1.4)/100</f>
        <v>0.14</v>
      </c>
      <c r="J726" s="834">
        <f>(F726*0.2)/100</f>
        <v>0.02</v>
      </c>
      <c r="K726" s="834">
        <f>(F726*8.2)/100</f>
        <v>0.82</v>
      </c>
      <c r="L726" s="220">
        <f>(F726*41)/100</f>
        <v>4.1</v>
      </c>
      <c r="N726" s="206"/>
    </row>
    <row r="727" spans="1:14" ht="12.75">
      <c r="A727" s="340" t="s">
        <v>42</v>
      </c>
      <c r="B727" s="341"/>
      <c r="C727" s="341"/>
      <c r="D727" s="725"/>
      <c r="E727" s="562">
        <v>0.01</v>
      </c>
      <c r="F727" s="564">
        <v>10</v>
      </c>
      <c r="G727" s="726">
        <v>64</v>
      </c>
      <c r="H727" s="535">
        <f>E727*G727</f>
        <v>0.64</v>
      </c>
      <c r="I727" s="455">
        <f>(F727*8)/100</f>
        <v>0.8</v>
      </c>
      <c r="J727" s="455">
        <f>(F727*1)/100</f>
        <v>0.1</v>
      </c>
      <c r="K727" s="455">
        <f>(F727*49.1)/100</f>
        <v>4.91</v>
      </c>
      <c r="L727" s="456">
        <f>(F727*238)/100</f>
        <v>23.8</v>
      </c>
      <c r="N727" s="206"/>
    </row>
    <row r="728" spans="1:14" ht="12.75">
      <c r="A728" s="340" t="s">
        <v>37</v>
      </c>
      <c r="B728" s="341"/>
      <c r="C728" s="341"/>
      <c r="D728" s="725"/>
      <c r="E728" s="562">
        <v>0.003</v>
      </c>
      <c r="F728" s="564">
        <v>3</v>
      </c>
      <c r="G728" s="726">
        <v>129</v>
      </c>
      <c r="H728" s="535">
        <f>E728*G728</f>
        <v>0.387</v>
      </c>
      <c r="I728" s="455"/>
      <c r="J728" s="455">
        <f>(F728*99.9)/100</f>
        <v>2.9970000000000003</v>
      </c>
      <c r="K728" s="455"/>
      <c r="L728" s="910">
        <f>(F728*899)/100</f>
        <v>26.97</v>
      </c>
      <c r="N728" s="206"/>
    </row>
    <row r="729" spans="1:14" ht="26.25" customHeight="1">
      <c r="A729" s="340" t="s">
        <v>76</v>
      </c>
      <c r="B729" s="341"/>
      <c r="C729" s="341"/>
      <c r="D729" s="725"/>
      <c r="E729" s="562">
        <v>0.002</v>
      </c>
      <c r="F729" s="564">
        <v>2</v>
      </c>
      <c r="G729" s="726">
        <v>49</v>
      </c>
      <c r="H729" s="911">
        <f>E729*G729</f>
        <v>0.098</v>
      </c>
      <c r="I729" s="560">
        <f>(F729*10.8)/100</f>
        <v>0.21600000000000003</v>
      </c>
      <c r="J729" s="560">
        <f>(F729*1.3)/100</f>
        <v>0.026000000000000002</v>
      </c>
      <c r="K729" s="560">
        <f>(F729*69.9)/100</f>
        <v>1.3980000000000001</v>
      </c>
      <c r="L729" s="912">
        <f>(F729*334)/100</f>
        <v>6.68</v>
      </c>
      <c r="N729" s="206"/>
    </row>
    <row r="730" spans="1:14" ht="12.75">
      <c r="A730" s="508" t="s">
        <v>18</v>
      </c>
      <c r="B730" s="913"/>
      <c r="C730" s="70"/>
      <c r="D730" s="914"/>
      <c r="E730" s="915">
        <v>0.02</v>
      </c>
      <c r="F730" s="455">
        <v>20</v>
      </c>
      <c r="G730" s="290">
        <v>72</v>
      </c>
      <c r="H730" s="911">
        <f>E730*G730</f>
        <v>1.44</v>
      </c>
      <c r="I730" s="916">
        <f>(2.9*F730)/100</f>
        <v>0.58</v>
      </c>
      <c r="J730" s="916">
        <f>(F730*2.5)/100</f>
        <v>0.5</v>
      </c>
      <c r="K730" s="916">
        <f>(4.8*F730)/100</f>
        <v>0.96</v>
      </c>
      <c r="L730" s="917">
        <f>(F730*60)/100</f>
        <v>12</v>
      </c>
      <c r="N730" s="206"/>
    </row>
    <row r="731" spans="1:14" ht="12.75">
      <c r="A731" s="340" t="s">
        <v>46</v>
      </c>
      <c r="B731" s="341"/>
      <c r="C731" s="341"/>
      <c r="D731" s="725"/>
      <c r="E731" s="562">
        <v>0.007</v>
      </c>
      <c r="F731" s="564">
        <v>6</v>
      </c>
      <c r="G731" s="726">
        <v>230</v>
      </c>
      <c r="H731" s="911">
        <f>E731*G731</f>
        <v>1.61</v>
      </c>
      <c r="I731" s="455">
        <f>(12.7*F731)/100</f>
        <v>0.7619999999999999</v>
      </c>
      <c r="J731" s="455">
        <f>(F731*11.5)/100</f>
        <v>0.69</v>
      </c>
      <c r="K731" s="455">
        <f>(F731*0.7)/100</f>
        <v>0.042</v>
      </c>
      <c r="L731" s="456">
        <f>(157*F731)/100</f>
        <v>9.42</v>
      </c>
      <c r="N731" s="206"/>
    </row>
    <row r="732" spans="1:14" ht="13.5" thickBot="1">
      <c r="A732" s="566"/>
      <c r="B732" s="567"/>
      <c r="C732" s="567"/>
      <c r="D732" s="748"/>
      <c r="E732" s="527"/>
      <c r="F732" s="528"/>
      <c r="G732" s="640"/>
      <c r="H732" s="642"/>
      <c r="I732" s="749"/>
      <c r="J732" s="749"/>
      <c r="K732" s="749"/>
      <c r="L732" s="750"/>
      <c r="N732" s="206"/>
    </row>
    <row r="733" spans="1:14" ht="13.5" thickBot="1">
      <c r="A733" s="309" t="s">
        <v>109</v>
      </c>
      <c r="B733" s="310"/>
      <c r="C733" s="310"/>
      <c r="D733" s="311">
        <v>100</v>
      </c>
      <c r="E733" s="312"/>
      <c r="F733" s="282"/>
      <c r="G733" s="283"/>
      <c r="H733" s="284">
        <f>SUM(H734:H736)</f>
        <v>9.8</v>
      </c>
      <c r="I733" s="285">
        <f>I734+I735+I736</f>
        <v>2.5100000000000002</v>
      </c>
      <c r="J733" s="285">
        <f>J734+J735+J736</f>
        <v>3.9699999999999998</v>
      </c>
      <c r="K733" s="285">
        <f>K734+K735+K736</f>
        <v>14.535999999999998</v>
      </c>
      <c r="L733" s="285">
        <f>L734+L735+L736</f>
        <v>106.08</v>
      </c>
      <c r="N733" s="206"/>
    </row>
    <row r="734" spans="1:14" ht="12.75">
      <c r="A734" s="429" t="s">
        <v>32</v>
      </c>
      <c r="B734" s="430"/>
      <c r="C734" s="430"/>
      <c r="D734" s="751"/>
      <c r="E734" s="752">
        <v>0.115</v>
      </c>
      <c r="F734" s="753">
        <v>80</v>
      </c>
      <c r="G734" s="192">
        <v>56</v>
      </c>
      <c r="H734" s="192">
        <f>E734*G734</f>
        <v>6.44</v>
      </c>
      <c r="I734" s="204">
        <f>(F734*2)/100</f>
        <v>1.6</v>
      </c>
      <c r="J734" s="204">
        <f>(F734*0.4)/100</f>
        <v>0.32</v>
      </c>
      <c r="K734" s="204">
        <f>(F734*16.3)/100</f>
        <v>13.04</v>
      </c>
      <c r="L734" s="205">
        <f>(F734*77)/100</f>
        <v>61.6</v>
      </c>
      <c r="N734" s="206"/>
    </row>
    <row r="735" spans="1:14" ht="12.75">
      <c r="A735" s="429" t="s">
        <v>18</v>
      </c>
      <c r="B735" s="430"/>
      <c r="C735" s="430"/>
      <c r="D735" s="751"/>
      <c r="E735" s="754">
        <v>0.03</v>
      </c>
      <c r="F735" s="755">
        <v>30</v>
      </c>
      <c r="G735" s="756">
        <v>72</v>
      </c>
      <c r="H735" s="756">
        <f>G735*E735</f>
        <v>2.16</v>
      </c>
      <c r="I735" s="63">
        <f>(2.9*F735)/100</f>
        <v>0.87</v>
      </c>
      <c r="J735" s="63">
        <f>(F735*2.5)/100</f>
        <v>0.75</v>
      </c>
      <c r="K735" s="63">
        <f>(4.8*F735)/100</f>
        <v>1.44</v>
      </c>
      <c r="L735" s="64">
        <f>(F735*60)/100</f>
        <v>18</v>
      </c>
      <c r="N735" s="206"/>
    </row>
    <row r="736" spans="1:14" ht="13.5" thickBot="1">
      <c r="A736" s="429" t="s">
        <v>16</v>
      </c>
      <c r="B736" s="430"/>
      <c r="C736" s="430"/>
      <c r="D736" s="751"/>
      <c r="E736" s="544">
        <v>0.004</v>
      </c>
      <c r="F736" s="545">
        <v>4</v>
      </c>
      <c r="G736" s="546">
        <v>300</v>
      </c>
      <c r="H736" s="756">
        <f>G736*E736</f>
        <v>1.2</v>
      </c>
      <c r="I736" s="45">
        <f>(F736*1)/100</f>
        <v>0.04</v>
      </c>
      <c r="J736" s="45">
        <f>(F736*72.5)/100</f>
        <v>2.9</v>
      </c>
      <c r="K736" s="45">
        <f>(F736*1.4)/100</f>
        <v>0.055999999999999994</v>
      </c>
      <c r="L736" s="46">
        <f>(F736*662)/100</f>
        <v>26.48</v>
      </c>
      <c r="N736" s="286"/>
    </row>
    <row r="737" spans="1:12" ht="13.5" thickBot="1">
      <c r="A737" s="102" t="s">
        <v>42</v>
      </c>
      <c r="B737" s="1148"/>
      <c r="C737" s="1148"/>
      <c r="D737" s="1149">
        <v>20</v>
      </c>
      <c r="E737" s="1150">
        <v>0.02</v>
      </c>
      <c r="F737" s="1151">
        <v>20</v>
      </c>
      <c r="G737" s="1152">
        <v>64</v>
      </c>
      <c r="H737" s="1153">
        <f>E737*G737</f>
        <v>1.28</v>
      </c>
      <c r="I737" s="294">
        <f>(F737*8)/100</f>
        <v>1.6</v>
      </c>
      <c r="J737" s="294">
        <f>(F737*1)/100</f>
        <v>0.2</v>
      </c>
      <c r="K737" s="294">
        <f>(F737*49.1)/100</f>
        <v>9.82</v>
      </c>
      <c r="L737" s="67">
        <f>(F737*238)/100</f>
        <v>47.6</v>
      </c>
    </row>
    <row r="738" spans="1:12" ht="13.5" thickBot="1">
      <c r="A738" s="1773" t="s">
        <v>49</v>
      </c>
      <c r="B738" s="1848"/>
      <c r="C738" s="1848"/>
      <c r="D738" s="65">
        <v>150</v>
      </c>
      <c r="E738" s="21"/>
      <c r="F738" s="21"/>
      <c r="G738" s="1154"/>
      <c r="H738" s="23">
        <f>H739+H740</f>
        <v>1.214</v>
      </c>
      <c r="I738" s="294">
        <f>SUM(I739:I740)</f>
        <v>0</v>
      </c>
      <c r="J738" s="294">
        <f>SUM(J739:J740)</f>
        <v>0</v>
      </c>
      <c r="K738" s="294">
        <f>SUM(K739:K740)</f>
        <v>10.978</v>
      </c>
      <c r="L738" s="67">
        <f>SUM(L739:L740)</f>
        <v>43.89</v>
      </c>
    </row>
    <row r="739" spans="1:12" ht="12.75">
      <c r="A739" s="68" t="s">
        <v>20</v>
      </c>
      <c r="B739" s="69"/>
      <c r="C739" s="70"/>
      <c r="D739" s="71"/>
      <c r="E739" s="760">
        <v>0.0005</v>
      </c>
      <c r="F739" s="78">
        <v>0.5</v>
      </c>
      <c r="G739" s="79">
        <v>448</v>
      </c>
      <c r="H739" s="79">
        <f>E739*G739</f>
        <v>0.224</v>
      </c>
      <c r="I739" s="80"/>
      <c r="J739" s="80"/>
      <c r="K739" s="80"/>
      <c r="L739" s="81"/>
    </row>
    <row r="740" spans="1:12" ht="13.5" thickBot="1">
      <c r="A740" s="354" t="s">
        <v>17</v>
      </c>
      <c r="B740" s="355"/>
      <c r="C740" s="1155"/>
      <c r="D740" s="765"/>
      <c r="E740" s="82">
        <v>0.011</v>
      </c>
      <c r="F740" s="83">
        <v>11</v>
      </c>
      <c r="G740" s="84">
        <v>90</v>
      </c>
      <c r="H740" s="84">
        <f>E740*G740</f>
        <v>0.99</v>
      </c>
      <c r="I740" s="358"/>
      <c r="J740" s="358"/>
      <c r="K740" s="358">
        <f>(F740*99.8)/100</f>
        <v>10.978</v>
      </c>
      <c r="L740" s="359">
        <f>(F740*399)/100</f>
        <v>43.89</v>
      </c>
    </row>
    <row r="741" spans="1:12" ht="16.5" thickBot="1">
      <c r="A741" s="1156"/>
      <c r="B741" s="1157"/>
      <c r="C741" s="1158" t="s">
        <v>50</v>
      </c>
      <c r="D741" s="1159"/>
      <c r="E741" s="1160"/>
      <c r="F741" s="1160"/>
      <c r="G741" s="1161"/>
      <c r="H741" s="1162">
        <f>H724+H733+H737+H738</f>
        <v>41.288</v>
      </c>
      <c r="I741" s="1163"/>
      <c r="J741" s="1163"/>
      <c r="K741" s="1163"/>
      <c r="L741" s="1164"/>
    </row>
    <row r="742" spans="1:12" ht="16.5" thickBot="1">
      <c r="A742" s="1165"/>
      <c r="B742" s="1166"/>
      <c r="C742" s="1166" t="s">
        <v>24</v>
      </c>
      <c r="D742" s="1167"/>
      <c r="E742" s="1166"/>
      <c r="F742" s="1166"/>
      <c r="G742" s="1168"/>
      <c r="H742" s="1168"/>
      <c r="I742" s="1169">
        <f>I738+I737+I733+I724</f>
        <v>16.928</v>
      </c>
      <c r="J742" s="1169">
        <f>J738+J737+J733+J724</f>
        <v>8.803</v>
      </c>
      <c r="K742" s="1169">
        <f>K738+K737+K733+K724</f>
        <v>43.464000000000006</v>
      </c>
      <c r="L742" s="1169">
        <f>L738+L737+L733+L724</f>
        <v>324.34</v>
      </c>
    </row>
    <row r="743" spans="1:12" ht="12.75">
      <c r="A743" s="382"/>
      <c r="C743" s="383"/>
      <c r="D743" s="384"/>
      <c r="E743" s="383"/>
      <c r="F743" s="383"/>
      <c r="G743" s="385"/>
      <c r="H743" s="385"/>
      <c r="I743" s="1170"/>
      <c r="J743" s="1170"/>
      <c r="K743" s="1170"/>
      <c r="L743" s="1171">
        <f>L742/1400</f>
        <v>0.23167142857142856</v>
      </c>
    </row>
    <row r="744" spans="1:12" ht="12.75">
      <c r="A744" s="394" t="s">
        <v>51</v>
      </c>
      <c r="B744" s="395"/>
      <c r="C744" s="395"/>
      <c r="D744" s="12"/>
      <c r="E744" s="396">
        <v>0.01</v>
      </c>
      <c r="F744" s="218" t="s">
        <v>52</v>
      </c>
      <c r="G744" s="397">
        <v>20</v>
      </c>
      <c r="H744" s="13">
        <f>E744*G744</f>
        <v>0.2</v>
      </c>
      <c r="I744" s="1172"/>
      <c r="J744" s="1172"/>
      <c r="K744" s="1172"/>
      <c r="L744" s="1173"/>
    </row>
    <row r="745" spans="1:12" ht="12.75">
      <c r="A745" s="401"/>
      <c r="B745" s="398"/>
      <c r="C745" s="395"/>
      <c r="D745" s="12"/>
      <c r="E745" s="395"/>
      <c r="F745" s="395"/>
      <c r="G745" s="13"/>
      <c r="H745" s="13"/>
      <c r="I745" s="1172"/>
      <c r="J745" s="1172"/>
      <c r="K745" s="1172"/>
      <c r="L745" s="1174"/>
    </row>
    <row r="746" spans="1:12" ht="15.75">
      <c r="A746" s="403"/>
      <c r="B746" s="404"/>
      <c r="C746" s="405" t="s">
        <v>53</v>
      </c>
      <c r="D746" s="406"/>
      <c r="E746" s="404"/>
      <c r="F746" s="405"/>
      <c r="G746" s="407"/>
      <c r="H746" s="407">
        <f>H744+H741+H720+H686+H679</f>
        <v>120.843</v>
      </c>
      <c r="I746" s="1175"/>
      <c r="J746" s="1175"/>
      <c r="K746" s="1175"/>
      <c r="L746" s="1176"/>
    </row>
    <row r="747" spans="1:12" ht="12.75">
      <c r="A747" s="394"/>
      <c r="B747" s="398"/>
      <c r="C747" s="395"/>
      <c r="D747" s="12"/>
      <c r="E747" s="1177"/>
      <c r="F747" s="395" t="s">
        <v>24</v>
      </c>
      <c r="G747" s="13"/>
      <c r="H747" s="13"/>
      <c r="I747" s="1178"/>
      <c r="J747" s="1178"/>
      <c r="K747" s="1178"/>
      <c r="L747" s="1179"/>
    </row>
    <row r="748" spans="1:12" ht="12.75">
      <c r="A748" s="612" t="s">
        <v>54</v>
      </c>
      <c r="B748" s="613"/>
      <c r="C748" s="612"/>
      <c r="D748" s="614"/>
      <c r="E748" s="612"/>
      <c r="F748" s="612"/>
      <c r="G748" s="615"/>
      <c r="H748" s="615"/>
      <c r="I748" s="615">
        <f>I742+I721+I683+I680</f>
        <v>46.562</v>
      </c>
      <c r="J748" s="615">
        <f>J742+J721+J683+J680</f>
        <v>42.347</v>
      </c>
      <c r="K748" s="615">
        <f>K742+K721+K683+K680</f>
        <v>162.5408</v>
      </c>
      <c r="L748" s="615">
        <f>L742+L721+L683+L680</f>
        <v>1232.6036</v>
      </c>
    </row>
    <row r="749" spans="4:12" ht="12.75">
      <c r="D749" s="4"/>
      <c r="L749" s="986">
        <f>L748/1400</f>
        <v>0.8804311428571427</v>
      </c>
    </row>
    <row r="750" spans="4:12" ht="12.75">
      <c r="D750" s="4"/>
      <c r="L750" s="986"/>
    </row>
    <row r="751" spans="1:12" ht="15">
      <c r="A751" s="798"/>
      <c r="B751" s="798"/>
      <c r="C751" s="798"/>
      <c r="D751" s="619"/>
      <c r="E751" s="798"/>
      <c r="F751" s="798"/>
      <c r="G751" s="799"/>
      <c r="H751" s="799"/>
      <c r="I751" s="886" t="s">
        <v>168</v>
      </c>
      <c r="J751" s="796"/>
      <c r="K751" s="618"/>
      <c r="L751" s="796"/>
    </row>
    <row r="752" spans="1:12" ht="12.75">
      <c r="A752" s="618"/>
      <c r="B752" s="618"/>
      <c r="C752" s="618"/>
      <c r="D752" s="619" t="s">
        <v>231</v>
      </c>
      <c r="E752" s="618"/>
      <c r="F752" s="618"/>
      <c r="G752" s="620"/>
      <c r="H752" s="620"/>
      <c r="I752" s="621"/>
      <c r="J752" s="621"/>
      <c r="K752" s="621"/>
      <c r="L752" s="621"/>
    </row>
    <row r="753" spans="1:12" ht="25.5">
      <c r="A753" s="1849" t="s">
        <v>2</v>
      </c>
      <c r="B753" s="1850"/>
      <c r="C753" s="1851"/>
      <c r="D753" s="622" t="s">
        <v>3</v>
      </c>
      <c r="E753" s="623" t="s">
        <v>4</v>
      </c>
      <c r="F753" s="623" t="s">
        <v>5</v>
      </c>
      <c r="G753" s="624" t="s">
        <v>6</v>
      </c>
      <c r="H753" s="625" t="s">
        <v>56</v>
      </c>
      <c r="I753" s="623" t="s">
        <v>8</v>
      </c>
      <c r="J753" s="623" t="s">
        <v>9</v>
      </c>
      <c r="K753" s="801" t="s">
        <v>10</v>
      </c>
      <c r="L753" s="623" t="s">
        <v>11</v>
      </c>
    </row>
    <row r="754" spans="1:12" ht="12.75">
      <c r="A754" s="1852"/>
      <c r="B754" s="1853"/>
      <c r="C754" s="1854"/>
      <c r="D754" s="628"/>
      <c r="E754" s="629"/>
      <c r="F754" s="629"/>
      <c r="G754" s="630"/>
      <c r="H754" s="630"/>
      <c r="I754" s="629" t="s">
        <v>12</v>
      </c>
      <c r="J754" s="629"/>
      <c r="K754" s="629"/>
      <c r="L754" s="802"/>
    </row>
    <row r="755" spans="1:12" ht="12.75">
      <c r="A755" s="803"/>
      <c r="B755" s="803"/>
      <c r="C755" s="803"/>
      <c r="D755" s="207"/>
      <c r="E755" s="207"/>
      <c r="F755" s="207"/>
      <c r="G755" s="210"/>
      <c r="H755" s="210"/>
      <c r="I755" s="207"/>
      <c r="J755" s="207"/>
      <c r="K755" s="207"/>
      <c r="L755" s="207"/>
    </row>
    <row r="756" spans="1:12" ht="13.5" thickBot="1">
      <c r="A756" s="634"/>
      <c r="B756" s="634"/>
      <c r="C756" s="634"/>
      <c r="D756" s="207"/>
      <c r="E756" s="634"/>
      <c r="F756" s="634"/>
      <c r="G756" s="210"/>
      <c r="H756" s="210"/>
      <c r="I756" s="207" t="s">
        <v>57</v>
      </c>
      <c r="J756" s="207" t="s">
        <v>58</v>
      </c>
      <c r="K756" s="634"/>
      <c r="L756" s="207"/>
    </row>
    <row r="757" spans="1:14" ht="13.5" thickBot="1">
      <c r="A757" s="1773" t="s">
        <v>169</v>
      </c>
      <c r="B757" s="1848"/>
      <c r="C757" s="1848"/>
      <c r="D757" s="20">
        <v>150</v>
      </c>
      <c r="E757" s="21"/>
      <c r="F757" s="21"/>
      <c r="G757" s="22"/>
      <c r="H757" s="23">
        <f>H758+H760+H762+H761+H759</f>
        <v>11.928999999999998</v>
      </c>
      <c r="I757" s="24">
        <f>SUM(I758:I762)</f>
        <v>5.385</v>
      </c>
      <c r="J757" s="24">
        <f>SUM(J758:J762)</f>
        <v>6.4510000000000005</v>
      </c>
      <c r="K757" s="24">
        <f>SUM(K758:K762)</f>
        <v>19.125</v>
      </c>
      <c r="L757" s="24">
        <f>SUM(L758:L762)</f>
        <v>163.7</v>
      </c>
      <c r="N757" s="206"/>
    </row>
    <row r="758" spans="1:14" ht="13.5" thickBot="1">
      <c r="A758" s="429" t="s">
        <v>60</v>
      </c>
      <c r="B758" s="430"/>
      <c r="C758" s="431"/>
      <c r="D758" s="432"/>
      <c r="E758" s="433">
        <v>0.007</v>
      </c>
      <c r="F758" s="434">
        <v>7</v>
      </c>
      <c r="G758" s="32">
        <v>64</v>
      </c>
      <c r="H758" s="33">
        <f>E758*G758</f>
        <v>0.448</v>
      </c>
      <c r="I758" s="435">
        <f>(F758*11.5)/100</f>
        <v>0.805</v>
      </c>
      <c r="J758" s="435">
        <f>(F758*3.3)/100</f>
        <v>0.23099999999999998</v>
      </c>
      <c r="K758" s="435">
        <f>(66.5*F758)/100</f>
        <v>4.655</v>
      </c>
      <c r="L758" s="436">
        <f>(342*F758)/100</f>
        <v>23.94</v>
      </c>
      <c r="N758" s="221"/>
    </row>
    <row r="759" spans="1:14" ht="12.75">
      <c r="A759" s="27" t="s">
        <v>92</v>
      </c>
      <c r="B759" s="28"/>
      <c r="C759" s="28"/>
      <c r="D759" s="29"/>
      <c r="E759" s="30">
        <v>0.007</v>
      </c>
      <c r="F759" s="31">
        <v>7</v>
      </c>
      <c r="G759" s="214">
        <v>93</v>
      </c>
      <c r="H759" s="215">
        <f>G759*E759</f>
        <v>0.651</v>
      </c>
      <c r="I759" s="85">
        <f>(11*F759)/100</f>
        <v>0.77</v>
      </c>
      <c r="J759" s="984">
        <f>(F759*1)/100</f>
        <v>0.07</v>
      </c>
      <c r="K759" s="984">
        <f>(74*F759)/100</f>
        <v>5.18</v>
      </c>
      <c r="L759" s="985">
        <f>(F759*333)/100</f>
        <v>23.31</v>
      </c>
      <c r="N759" s="221"/>
    </row>
    <row r="760" spans="1:14" ht="12.75">
      <c r="A760" s="37" t="s">
        <v>16</v>
      </c>
      <c r="B760" s="38"/>
      <c r="C760" s="39"/>
      <c r="D760" s="40"/>
      <c r="E760" s="41">
        <v>0.004</v>
      </c>
      <c r="F760" s="42">
        <v>4</v>
      </c>
      <c r="G760" s="43">
        <v>300</v>
      </c>
      <c r="H760" s="44">
        <f>E760*G760</f>
        <v>1.2</v>
      </c>
      <c r="I760" s="45">
        <f>(F760*1)/100</f>
        <v>0.04</v>
      </c>
      <c r="J760" s="45">
        <f>(F760*72.5)/100</f>
        <v>2.9</v>
      </c>
      <c r="K760" s="45">
        <f>(F760*1.4)/100</f>
        <v>0.055999999999999994</v>
      </c>
      <c r="L760" s="46">
        <f>(F760*662)/100</f>
        <v>26.48</v>
      </c>
      <c r="N760" s="221"/>
    </row>
    <row r="761" spans="1:14" ht="12.75">
      <c r="A761" s="47" t="s">
        <v>17</v>
      </c>
      <c r="B761" s="48"/>
      <c r="C761" s="49"/>
      <c r="D761" s="50"/>
      <c r="E761" s="51">
        <v>0.003</v>
      </c>
      <c r="F761" s="52">
        <v>3</v>
      </c>
      <c r="G761" s="53">
        <v>90</v>
      </c>
      <c r="H761" s="53">
        <f>E761*G761</f>
        <v>0.27</v>
      </c>
      <c r="I761" s="54"/>
      <c r="J761" s="54"/>
      <c r="K761" s="54">
        <f>(F761*99.8)/100</f>
        <v>2.9939999999999998</v>
      </c>
      <c r="L761" s="55">
        <f>(F761*399)/100</f>
        <v>11.97</v>
      </c>
      <c r="N761" s="221"/>
    </row>
    <row r="762" spans="1:14" ht="13.5" thickBot="1">
      <c r="A762" s="56" t="s">
        <v>18</v>
      </c>
      <c r="B762" s="57"/>
      <c r="C762" s="57"/>
      <c r="D762" s="58"/>
      <c r="E762" s="59">
        <v>0.13</v>
      </c>
      <c r="F762" s="60">
        <v>130</v>
      </c>
      <c r="G762" s="61">
        <v>72</v>
      </c>
      <c r="H762" s="62">
        <f>E762*G762</f>
        <v>9.36</v>
      </c>
      <c r="I762" s="63">
        <f>(2.9*F762)/100</f>
        <v>3.77</v>
      </c>
      <c r="J762" s="63">
        <f>(F762*2.5)/100</f>
        <v>3.25</v>
      </c>
      <c r="K762" s="63">
        <f>(4.8*F762)/100</f>
        <v>6.24</v>
      </c>
      <c r="L762" s="64">
        <f>(F762*60)/100</f>
        <v>78</v>
      </c>
      <c r="N762" s="221"/>
    </row>
    <row r="763" spans="1:14" ht="13.5" thickBot="1">
      <c r="A763" s="1781" t="s">
        <v>49</v>
      </c>
      <c r="B763" s="1825"/>
      <c r="C763" s="1825"/>
      <c r="D763" s="347">
        <v>150</v>
      </c>
      <c r="E763" s="178"/>
      <c r="F763" s="180"/>
      <c r="G763" s="180"/>
      <c r="H763" s="348">
        <f>H764+H765+H766</f>
        <v>1.214</v>
      </c>
      <c r="I763" s="181">
        <f>SUM(I764:I766)</f>
        <v>0</v>
      </c>
      <c r="J763" s="181">
        <f>SUM(J764:J766)</f>
        <v>0</v>
      </c>
      <c r="K763" s="181">
        <f>SUM(K764:K766)</f>
        <v>10.978</v>
      </c>
      <c r="L763" s="349">
        <f>SUM(L764:L766)</f>
        <v>43.89</v>
      </c>
      <c r="N763" s="221"/>
    </row>
    <row r="764" spans="1:14" ht="12.75">
      <c r="A764" s="1782" t="s">
        <v>20</v>
      </c>
      <c r="B764" s="1826"/>
      <c r="C764" s="1827"/>
      <c r="D764" s="759"/>
      <c r="E764" s="760">
        <v>0.0005</v>
      </c>
      <c r="F764" s="761">
        <v>0.5</v>
      </c>
      <c r="G764" s="79">
        <v>448</v>
      </c>
      <c r="H764" s="80">
        <f>G764*E764</f>
        <v>0.224</v>
      </c>
      <c r="I764" s="80"/>
      <c r="J764" s="80"/>
      <c r="K764" s="80"/>
      <c r="L764" s="762"/>
      <c r="N764" s="221"/>
    </row>
    <row r="765" spans="1:14" ht="12.75">
      <c r="A765" s="68" t="s">
        <v>17</v>
      </c>
      <c r="B765" s="69"/>
      <c r="C765" s="69"/>
      <c r="D765" s="759"/>
      <c r="E765" s="77">
        <v>0.011</v>
      </c>
      <c r="F765" s="763">
        <v>11</v>
      </c>
      <c r="G765" s="79">
        <v>90</v>
      </c>
      <c r="H765" s="80">
        <f>G765*E765</f>
        <v>0.99</v>
      </c>
      <c r="I765" s="80"/>
      <c r="J765" s="80"/>
      <c r="K765" s="80">
        <f>(F765*99.8)/100</f>
        <v>10.978</v>
      </c>
      <c r="L765" s="81">
        <f>(F765*399)/100</f>
        <v>43.89</v>
      </c>
      <c r="N765" s="221"/>
    </row>
    <row r="766" spans="1:14" ht="13.5" thickBot="1">
      <c r="A766" s="429"/>
      <c r="B766" s="430"/>
      <c r="C766" s="430"/>
      <c r="D766" s="432"/>
      <c r="E766" s="562"/>
      <c r="F766" s="505"/>
      <c r="G766" s="214"/>
      <c r="H766" s="535"/>
      <c r="I766" s="80"/>
      <c r="J766" s="80"/>
      <c r="K766" s="80"/>
      <c r="L766" s="81"/>
      <c r="N766" s="221"/>
    </row>
    <row r="767" spans="1:14" ht="13.5" thickBot="1">
      <c r="A767" s="1773" t="s">
        <v>93</v>
      </c>
      <c r="B767" s="1848"/>
      <c r="C767" s="1848"/>
      <c r="D767" s="450" t="s">
        <v>94</v>
      </c>
      <c r="E767" s="66"/>
      <c r="F767" s="21"/>
      <c r="G767" s="22"/>
      <c r="H767" s="23">
        <f>H768+H770+H769</f>
        <v>3.9899999999999998</v>
      </c>
      <c r="I767" s="294">
        <f>SUM(I768:I770)</f>
        <v>2.25</v>
      </c>
      <c r="J767" s="294">
        <f>SUM(J768:J770)</f>
        <v>2.94</v>
      </c>
      <c r="K767" s="294">
        <f>SUM(K768:K770)</f>
        <v>22.32</v>
      </c>
      <c r="L767" s="67">
        <f>SUM(L768:L770)</f>
        <v>125.1</v>
      </c>
      <c r="N767" s="634"/>
    </row>
    <row r="768" spans="1:12" ht="13.5" thickBot="1">
      <c r="A768" s="1789" t="s">
        <v>93</v>
      </c>
      <c r="B768" s="1829"/>
      <c r="C768" s="1830"/>
      <c r="D768" s="650"/>
      <c r="E768" s="651">
        <v>0.03</v>
      </c>
      <c r="F768" s="652">
        <v>30</v>
      </c>
      <c r="G768" s="653">
        <v>133</v>
      </c>
      <c r="H768" s="653">
        <f>E768*G768</f>
        <v>3.9899999999999998</v>
      </c>
      <c r="I768" s="93">
        <v>2.25</v>
      </c>
      <c r="J768" s="93">
        <v>2.94</v>
      </c>
      <c r="K768" s="93">
        <v>22.32</v>
      </c>
      <c r="L768" s="94">
        <v>125.1</v>
      </c>
    </row>
    <row r="769" spans="1:12" ht="13.5" thickBot="1">
      <c r="A769" s="437"/>
      <c r="B769" s="438"/>
      <c r="C769" s="439"/>
      <c r="D769" s="440"/>
      <c r="E769" s="441"/>
      <c r="F769" s="442"/>
      <c r="G769" s="461"/>
      <c r="H769" s="461"/>
      <c r="I769" s="461"/>
      <c r="J769" s="461"/>
      <c r="K769" s="461"/>
      <c r="L769" s="462"/>
    </row>
    <row r="770" spans="1:12" ht="13.5" thickBot="1">
      <c r="A770" s="1189"/>
      <c r="B770" s="1190"/>
      <c r="C770" s="1190"/>
      <c r="D770" s="1191"/>
      <c r="E770" s="1192"/>
      <c r="F770" s="1193"/>
      <c r="G770" s="1132"/>
      <c r="H770" s="1132"/>
      <c r="I770" s="461"/>
      <c r="J770" s="461"/>
      <c r="K770" s="461"/>
      <c r="L770" s="462"/>
    </row>
    <row r="771" spans="1:12" ht="15.75">
      <c r="A771" s="1194" t="s">
        <v>23</v>
      </c>
      <c r="B771" s="1195"/>
      <c r="C771" s="1195"/>
      <c r="D771" s="1196"/>
      <c r="E771" s="1197"/>
      <c r="F771" s="1196"/>
      <c r="G771" s="1198"/>
      <c r="H771" s="1198">
        <f>H767+H763+H757</f>
        <v>17.133</v>
      </c>
      <c r="I771" s="1199"/>
      <c r="J771" s="1199"/>
      <c r="K771" s="1200"/>
      <c r="L771" s="1201"/>
    </row>
    <row r="772" spans="1:12" ht="16.5" thickBot="1">
      <c r="A772" s="1202"/>
      <c r="B772" s="1203" t="s">
        <v>24</v>
      </c>
      <c r="C772" s="1204"/>
      <c r="D772" s="1205"/>
      <c r="E772" s="1206"/>
      <c r="F772" s="1205"/>
      <c r="G772" s="1207"/>
      <c r="H772" s="1207"/>
      <c r="I772" s="1208">
        <f>I767+I763+I757</f>
        <v>7.635</v>
      </c>
      <c r="J772" s="1208">
        <f>J767+J763+J757</f>
        <v>9.391</v>
      </c>
      <c r="K772" s="1208">
        <f>K767+K763+K757</f>
        <v>52.423</v>
      </c>
      <c r="L772" s="1208">
        <f>L767+L763+L757</f>
        <v>332.69</v>
      </c>
    </row>
    <row r="773" spans="1:12" ht="12.75">
      <c r="A773" s="206"/>
      <c r="B773" s="206"/>
      <c r="C773" s="206"/>
      <c r="D773" s="207"/>
      <c r="E773" s="671"/>
      <c r="F773" s="207"/>
      <c r="G773" s="210"/>
      <c r="H773" s="210"/>
      <c r="I773" s="211"/>
      <c r="J773" s="211"/>
      <c r="K773" s="672"/>
      <c r="L773" s="672">
        <f>L772/1400</f>
        <v>0.23763571428571428</v>
      </c>
    </row>
    <row r="774" spans="1:12" ht="13.5" thickBot="1">
      <c r="A774" s="209"/>
      <c r="B774" s="211" t="s">
        <v>66</v>
      </c>
      <c r="C774" s="223"/>
      <c r="D774" s="208"/>
      <c r="E774" s="208"/>
      <c r="F774" s="208"/>
      <c r="G774" s="209"/>
      <c r="H774" s="209"/>
      <c r="I774" s="211"/>
      <c r="J774" s="223"/>
      <c r="K774" s="673"/>
      <c r="L774" s="223"/>
    </row>
    <row r="775" spans="1:12" ht="13.5" thickBot="1">
      <c r="A775" s="1776" t="s">
        <v>26</v>
      </c>
      <c r="B775" s="1828"/>
      <c r="C775" s="1828"/>
      <c r="D775" s="103">
        <v>100</v>
      </c>
      <c r="E775" s="104"/>
      <c r="F775" s="104"/>
      <c r="G775" s="105"/>
      <c r="H775" s="106">
        <f>H776</f>
        <v>7</v>
      </c>
      <c r="I775" s="139"/>
      <c r="J775" s="140">
        <f>J776</f>
        <v>0</v>
      </c>
      <c r="K775" s="140">
        <f>K776</f>
        <v>10.1</v>
      </c>
      <c r="L775" s="140">
        <f>L776</f>
        <v>46</v>
      </c>
    </row>
    <row r="776" spans="1:12" ht="12.75">
      <c r="A776" s="1855"/>
      <c r="B776" s="1856"/>
      <c r="C776" s="1857"/>
      <c r="D776" s="109"/>
      <c r="E776" s="110">
        <v>0.1</v>
      </c>
      <c r="F776" s="111">
        <v>100</v>
      </c>
      <c r="G776" s="112">
        <v>70</v>
      </c>
      <c r="H776" s="113">
        <f>E776*G776</f>
        <v>7</v>
      </c>
      <c r="I776" s="143"/>
      <c r="J776" s="143"/>
      <c r="K776" s="143">
        <f>(10.1*F776)/100</f>
        <v>10.1</v>
      </c>
      <c r="L776" s="146">
        <f>(F776*46)/100</f>
        <v>46</v>
      </c>
    </row>
    <row r="777" spans="1:12" ht="12.75">
      <c r="A777" s="19"/>
      <c r="B777" s="28"/>
      <c r="C777" s="28"/>
      <c r="D777" s="16"/>
      <c r="E777" s="270"/>
      <c r="F777" s="28"/>
      <c r="G777" s="150"/>
      <c r="H777" s="17"/>
      <c r="I777" s="19"/>
      <c r="J777" s="16"/>
      <c r="K777" s="19"/>
      <c r="L777" s="1215"/>
    </row>
    <row r="778" spans="1:12" ht="15.75">
      <c r="A778" s="770" t="s">
        <v>27</v>
      </c>
      <c r="B778" s="771"/>
      <c r="C778" s="1216"/>
      <c r="D778" s="1217"/>
      <c r="E778" s="1217"/>
      <c r="F778" s="1217"/>
      <c r="G778" s="772"/>
      <c r="H778" s="660">
        <f>H775</f>
        <v>7</v>
      </c>
      <c r="I778" s="1217"/>
      <c r="J778" s="1217"/>
      <c r="K778" s="1217"/>
      <c r="L778" s="1218">
        <f>L775/1400</f>
        <v>0.032857142857142856</v>
      </c>
    </row>
    <row r="779" spans="1:12" ht="15.75">
      <c r="A779" s="1219"/>
      <c r="B779" s="1220" t="s">
        <v>24</v>
      </c>
      <c r="C779" s="1220"/>
      <c r="D779" s="1221"/>
      <c r="E779" s="1221"/>
      <c r="F779" s="1221"/>
      <c r="G779" s="1222"/>
      <c r="H779" s="1222"/>
      <c r="I779" s="1223"/>
      <c r="J779" s="1223"/>
      <c r="K779" s="1223"/>
      <c r="L779" s="1223"/>
    </row>
    <row r="780" spans="1:12" ht="13.5" thickBot="1">
      <c r="A780" s="207" t="s">
        <v>67</v>
      </c>
      <c r="B780" s="207" t="s">
        <v>68</v>
      </c>
      <c r="C780" s="57"/>
      <c r="D780" s="208"/>
      <c r="E780" s="208"/>
      <c r="F780" s="208"/>
      <c r="G780" s="209"/>
      <c r="H780" s="209"/>
      <c r="I780" s="207"/>
      <c r="J780" s="207"/>
      <c r="K780" s="208"/>
      <c r="L780" s="1224"/>
    </row>
    <row r="781" spans="1:14" ht="12.75" customHeight="1" thickBot="1">
      <c r="A781" s="1791" t="s">
        <v>261</v>
      </c>
      <c r="B781" s="1858"/>
      <c r="C781" s="1858"/>
      <c r="D781" s="829" t="s">
        <v>244</v>
      </c>
      <c r="E781" s="693"/>
      <c r="F781" s="104"/>
      <c r="G781" s="105"/>
      <c r="H781" s="106">
        <f>SUM(H782:H788)</f>
        <v>10.080000000000002</v>
      </c>
      <c r="I781" s="577">
        <f>SUM(I782:I788)</f>
        <v>2.379</v>
      </c>
      <c r="J781" s="577">
        <f>SUM(J782:J788)</f>
        <v>3.433</v>
      </c>
      <c r="K781" s="577">
        <f>SUM(K782:K788)</f>
        <v>10.844</v>
      </c>
      <c r="L781" s="577">
        <f>SUM(L782:L788)</f>
        <v>84.58</v>
      </c>
      <c r="N781" s="1114"/>
    </row>
    <row r="782" spans="1:14" ht="12.75">
      <c r="A782" s="340" t="s">
        <v>174</v>
      </c>
      <c r="B782" s="493"/>
      <c r="C782" s="493"/>
      <c r="D782" s="515"/>
      <c r="E782" s="835"/>
      <c r="F782" s="85"/>
      <c r="G782" s="192"/>
      <c r="H782" s="193"/>
      <c r="I782" s="495"/>
      <c r="J782" s="495"/>
      <c r="K782" s="495"/>
      <c r="L782" s="496"/>
      <c r="N782" s="264"/>
    </row>
    <row r="783" spans="1:14" ht="12.75">
      <c r="A783" s="340" t="s">
        <v>16</v>
      </c>
      <c r="B783" s="493"/>
      <c r="C783" s="493"/>
      <c r="D783" s="832"/>
      <c r="E783" s="498">
        <v>0.003</v>
      </c>
      <c r="F783" s="435">
        <v>3</v>
      </c>
      <c r="G783" s="32">
        <v>300</v>
      </c>
      <c r="H783" s="33">
        <f>E783*G783</f>
        <v>0.9</v>
      </c>
      <c r="I783" s="45">
        <f>(F783*1)/100</f>
        <v>0.03</v>
      </c>
      <c r="J783" s="45">
        <f>(F783*72.5)/100</f>
        <v>2.175</v>
      </c>
      <c r="K783" s="45">
        <f>(F783*1.4)/100</f>
        <v>0.041999999999999996</v>
      </c>
      <c r="L783" s="46">
        <f>(F783*662)/100</f>
        <v>19.86</v>
      </c>
      <c r="N783" s="264"/>
    </row>
    <row r="784" spans="1:14" ht="12.75">
      <c r="A784" s="508" t="s">
        <v>72</v>
      </c>
      <c r="B784" s="509"/>
      <c r="C784" s="509"/>
      <c r="D784" s="833"/>
      <c r="E784" s="510">
        <v>0.005</v>
      </c>
      <c r="F784" s="511">
        <v>5</v>
      </c>
      <c r="G784" s="501">
        <v>156</v>
      </c>
      <c r="H784" s="501">
        <f>E784*G784</f>
        <v>0.78</v>
      </c>
      <c r="I784" s="834">
        <f>(2.5*F784)/100</f>
        <v>0.125</v>
      </c>
      <c r="J784" s="834">
        <f>(20*F784)/100</f>
        <v>1</v>
      </c>
      <c r="K784" s="834">
        <f>(3.4*F784)/100</f>
        <v>0.17</v>
      </c>
      <c r="L784" s="220">
        <f>(206*F784)/100</f>
        <v>10.3</v>
      </c>
      <c r="N784" s="705"/>
    </row>
    <row r="785" spans="1:14" ht="12.75">
      <c r="A785" s="340" t="s">
        <v>32</v>
      </c>
      <c r="B785" s="493"/>
      <c r="C785" s="493"/>
      <c r="D785" s="832"/>
      <c r="E785" s="835">
        <v>0.06</v>
      </c>
      <c r="F785" s="85">
        <v>42</v>
      </c>
      <c r="G785" s="535">
        <v>56</v>
      </c>
      <c r="H785" s="501">
        <f>E785*G785</f>
        <v>3.36</v>
      </c>
      <c r="I785" s="213">
        <f>(F785*2)/100</f>
        <v>0.84</v>
      </c>
      <c r="J785" s="213">
        <f>(F785*0.4)/100</f>
        <v>0.168</v>
      </c>
      <c r="K785" s="213">
        <f>(F785*16.3)/100</f>
        <v>6.846</v>
      </c>
      <c r="L785" s="216">
        <f>(F785*77)/100</f>
        <v>32.34</v>
      </c>
      <c r="N785" s="264"/>
    </row>
    <row r="786" spans="1:26" ht="26.25" customHeight="1">
      <c r="A786" s="248" t="s">
        <v>38</v>
      </c>
      <c r="B786" s="250"/>
      <c r="C786" s="250"/>
      <c r="D786" s="1115"/>
      <c r="E786" s="904">
        <v>0.06</v>
      </c>
      <c r="F786" s="905">
        <v>50</v>
      </c>
      <c r="G786" s="273">
        <v>56</v>
      </c>
      <c r="H786" s="255">
        <f>E786*G786</f>
        <v>3.36</v>
      </c>
      <c r="I786" s="111">
        <f>(1.8*F786)/100</f>
        <v>0.9</v>
      </c>
      <c r="J786" s="111">
        <f>(F786*0.1)/100</f>
        <v>0.05</v>
      </c>
      <c r="K786" s="111">
        <f>(F786*4.7)/100</f>
        <v>2.35</v>
      </c>
      <c r="L786" s="263">
        <f>(F786*28)/100</f>
        <v>14</v>
      </c>
      <c r="N786" s="264"/>
      <c r="O786" s="1114"/>
      <c r="P786" s="1114"/>
      <c r="Q786" s="314"/>
      <c r="R786" s="831"/>
      <c r="S786" s="831"/>
      <c r="T786" s="267"/>
      <c r="U786" s="316"/>
      <c r="V786" s="317"/>
      <c r="W786" s="317"/>
      <c r="X786" s="317"/>
      <c r="Y786" s="317"/>
      <c r="Z786" s="317"/>
    </row>
    <row r="787" spans="1:26" ht="12.75">
      <c r="A787" s="340" t="s">
        <v>33</v>
      </c>
      <c r="B787" s="341"/>
      <c r="C787" s="341"/>
      <c r="D787" s="520"/>
      <c r="E787" s="212">
        <v>0.01</v>
      </c>
      <c r="F787" s="213">
        <v>8</v>
      </c>
      <c r="G787" s="214">
        <v>63</v>
      </c>
      <c r="H787" s="215">
        <f>E787*G787</f>
        <v>0.63</v>
      </c>
      <c r="I787" s="213">
        <f>(F787*1.4)/100</f>
        <v>0.11199999999999999</v>
      </c>
      <c r="J787" s="213">
        <f>(F787*0.2)/100</f>
        <v>0.016</v>
      </c>
      <c r="K787" s="213">
        <f>(F787*8.2)/100</f>
        <v>0.6559999999999999</v>
      </c>
      <c r="L787" s="216">
        <f>(F787*41)/100</f>
        <v>3.28</v>
      </c>
      <c r="N787" s="264"/>
      <c r="O787" s="266"/>
      <c r="P787" s="266"/>
      <c r="Q787" s="314"/>
      <c r="R787" s="1116"/>
      <c r="S787" s="268"/>
      <c r="T787" s="267"/>
      <c r="U787" s="288"/>
      <c r="V787" s="291"/>
      <c r="W787" s="291"/>
      <c r="X787" s="291"/>
      <c r="Y787" s="291"/>
      <c r="Z787" s="291"/>
    </row>
    <row r="788" spans="1:26" ht="13.5" thickBot="1">
      <c r="A788" s="340" t="s">
        <v>34</v>
      </c>
      <c r="B788" s="341"/>
      <c r="C788" s="341"/>
      <c r="D788" s="836"/>
      <c r="E788" s="212">
        <v>0.015</v>
      </c>
      <c r="F788" s="213">
        <v>12</v>
      </c>
      <c r="G788" s="342">
        <v>70</v>
      </c>
      <c r="H788" s="112">
        <f>G788*E788</f>
        <v>1.05</v>
      </c>
      <c r="I788" s="258">
        <f>(3.1*F788)/100</f>
        <v>0.37200000000000005</v>
      </c>
      <c r="J788" s="258">
        <f>(0.2*F788)/100</f>
        <v>0.024000000000000004</v>
      </c>
      <c r="K788" s="258">
        <f>(6.5*F788)/100</f>
        <v>0.78</v>
      </c>
      <c r="L788" s="327">
        <f>(40*F788)/100</f>
        <v>4.8</v>
      </c>
      <c r="N788" s="264"/>
      <c r="O788" s="264"/>
      <c r="P788" s="264"/>
      <c r="Q788" s="314"/>
      <c r="R788" s="1116"/>
      <c r="S788" s="268"/>
      <c r="T788" s="267"/>
      <c r="U788" s="288"/>
      <c r="V788" s="233"/>
      <c r="W788" s="233"/>
      <c r="X788" s="233"/>
      <c r="Y788" s="233"/>
      <c r="Z788" s="233"/>
    </row>
    <row r="789" spans="1:26" ht="13.5" thickBot="1">
      <c r="A789" s="1813" t="s">
        <v>262</v>
      </c>
      <c r="B789" s="1859"/>
      <c r="C789" s="1859"/>
      <c r="D789" s="839">
        <v>150</v>
      </c>
      <c r="E789" s="236"/>
      <c r="F789" s="236"/>
      <c r="G789" s="137"/>
      <c r="H789" s="138">
        <f>H790+H791+H792+H793+H794+H795</f>
        <v>30.256999999999998</v>
      </c>
      <c r="I789" s="140">
        <f>SUM(I790:I795)</f>
        <v>4.236</v>
      </c>
      <c r="J789" s="140">
        <f>SUM(J790:J795)</f>
        <v>17.461</v>
      </c>
      <c r="K789" s="140">
        <f>SUM(K790:K795)</f>
        <v>21.964000000000002</v>
      </c>
      <c r="L789" s="140">
        <f>SUM(L790:L795)</f>
        <v>292.18000000000006</v>
      </c>
      <c r="N789" s="264"/>
      <c r="O789" s="705"/>
      <c r="P789" s="705"/>
      <c r="Q789" s="325"/>
      <c r="R789" s="326"/>
      <c r="S789" s="264"/>
      <c r="T789" s="288"/>
      <c r="U789" s="288"/>
      <c r="V789" s="268"/>
      <c r="W789" s="268"/>
      <c r="X789" s="268"/>
      <c r="Y789" s="269"/>
      <c r="Z789" s="269"/>
    </row>
    <row r="790" spans="1:26" ht="12.75">
      <c r="A790" s="340" t="s">
        <v>75</v>
      </c>
      <c r="B790" s="493"/>
      <c r="C790" s="493"/>
      <c r="D790" s="515"/>
      <c r="E790" s="190">
        <v>0.09</v>
      </c>
      <c r="F790" s="191">
        <v>65</v>
      </c>
      <c r="G790" s="192">
        <v>240</v>
      </c>
      <c r="H790" s="193">
        <f aca="true" t="shared" si="4" ref="H790:H795">G790*E790</f>
        <v>21.599999999999998</v>
      </c>
      <c r="I790" s="495"/>
      <c r="J790" s="495">
        <f>(F790*16)/100</f>
        <v>10.4</v>
      </c>
      <c r="K790" s="495"/>
      <c r="L790" s="496">
        <f>(F790*190)/100</f>
        <v>123.5</v>
      </c>
      <c r="N790" s="264"/>
      <c r="O790" s="264"/>
      <c r="P790" s="266"/>
      <c r="Q790" s="314"/>
      <c r="R790" s="1116"/>
      <c r="S790" s="268"/>
      <c r="T790" s="267"/>
      <c r="U790" s="288"/>
      <c r="V790" s="268"/>
      <c r="W790" s="268"/>
      <c r="X790" s="268"/>
      <c r="Y790" s="269"/>
      <c r="Z790" s="269"/>
    </row>
    <row r="791" spans="1:26" ht="12.75">
      <c r="A791" s="47" t="s">
        <v>37</v>
      </c>
      <c r="B791" s="48"/>
      <c r="C791" s="48"/>
      <c r="D791" s="840"/>
      <c r="E791" s="51">
        <v>0.003</v>
      </c>
      <c r="F791" s="52">
        <v>3</v>
      </c>
      <c r="G791" s="53">
        <v>129</v>
      </c>
      <c r="H791" s="144">
        <f t="shared" si="4"/>
        <v>0.387</v>
      </c>
      <c r="I791" s="257"/>
      <c r="J791" s="258">
        <f>(F791*99.9)/100</f>
        <v>2.9970000000000003</v>
      </c>
      <c r="K791" s="54"/>
      <c r="L791" s="259">
        <f>(F791*899)/100</f>
        <v>26.97</v>
      </c>
      <c r="N791" s="264"/>
      <c r="O791" s="264"/>
      <c r="P791" s="266"/>
      <c r="Q791" s="314"/>
      <c r="R791" s="1116"/>
      <c r="S791" s="268"/>
      <c r="T791" s="267"/>
      <c r="U791" s="288"/>
      <c r="V791" s="268"/>
      <c r="W791" s="268"/>
      <c r="X791" s="268"/>
      <c r="Y791" s="269"/>
      <c r="Z791" s="269"/>
    </row>
    <row r="792" spans="1:26" ht="12.75">
      <c r="A792" s="47" t="s">
        <v>33</v>
      </c>
      <c r="B792" s="48"/>
      <c r="C792" s="48"/>
      <c r="D792" s="840"/>
      <c r="E792" s="51">
        <v>0.015</v>
      </c>
      <c r="F792" s="52">
        <v>13</v>
      </c>
      <c r="G792" s="53">
        <v>63</v>
      </c>
      <c r="H792" s="144">
        <f t="shared" si="4"/>
        <v>0.945</v>
      </c>
      <c r="I792" s="204">
        <f>(F792*1.4)/100</f>
        <v>0.182</v>
      </c>
      <c r="J792" s="204">
        <f>(F792*0.2)/100</f>
        <v>0.026000000000000002</v>
      </c>
      <c r="K792" s="204">
        <f>(F792*8.2)/100</f>
        <v>1.0659999999999998</v>
      </c>
      <c r="L792" s="205">
        <f>(F792*41)/100</f>
        <v>5.33</v>
      </c>
      <c r="N792" s="264"/>
      <c r="O792" s="264"/>
      <c r="P792" s="266"/>
      <c r="Q792" s="314"/>
      <c r="R792" s="1116"/>
      <c r="S792" s="268"/>
      <c r="T792" s="267"/>
      <c r="U792" s="288"/>
      <c r="V792" s="268"/>
      <c r="W792" s="268"/>
      <c r="X792" s="268"/>
      <c r="Y792" s="269"/>
      <c r="Z792" s="269"/>
    </row>
    <row r="793" spans="1:26" ht="12.75">
      <c r="A793" s="47" t="s">
        <v>34</v>
      </c>
      <c r="B793" s="48"/>
      <c r="C793" s="48"/>
      <c r="D793" s="840"/>
      <c r="E793" s="51">
        <v>0.025</v>
      </c>
      <c r="F793" s="52">
        <v>18</v>
      </c>
      <c r="G793" s="53">
        <v>70</v>
      </c>
      <c r="H793" s="144">
        <f t="shared" si="4"/>
        <v>1.75</v>
      </c>
      <c r="I793" s="204">
        <f>(F793*1.3)/100</f>
        <v>0.234</v>
      </c>
      <c r="J793" s="204">
        <f>(F793*0.1)/100</f>
        <v>0.018000000000000002</v>
      </c>
      <c r="K793" s="204">
        <f>(F793*6.9)/100</f>
        <v>1.242</v>
      </c>
      <c r="L793" s="274">
        <f>(F793*35)/100</f>
        <v>6.3</v>
      </c>
      <c r="N793" s="264"/>
      <c r="O793" s="264"/>
      <c r="P793" s="266"/>
      <c r="Q793" s="314"/>
      <c r="R793" s="1116"/>
      <c r="S793" s="268"/>
      <c r="T793" s="267"/>
      <c r="U793" s="288"/>
      <c r="V793" s="268"/>
      <c r="W793" s="268"/>
      <c r="X793" s="268"/>
      <c r="Y793" s="269"/>
      <c r="Z793" s="269"/>
    </row>
    <row r="794" spans="1:14" ht="25.5" customHeight="1">
      <c r="A794" s="47" t="s">
        <v>176</v>
      </c>
      <c r="B794" s="48"/>
      <c r="C794" s="48"/>
      <c r="D794" s="840"/>
      <c r="E794" s="261">
        <v>0.035</v>
      </c>
      <c r="F794" s="262">
        <v>35</v>
      </c>
      <c r="G794" s="112">
        <v>125</v>
      </c>
      <c r="H794" s="112">
        <f t="shared" si="4"/>
        <v>4.375</v>
      </c>
      <c r="I794" s="111">
        <f>(10.8*F794)/100</f>
        <v>3.78</v>
      </c>
      <c r="J794" s="111">
        <f>(3.2*F794)/100</f>
        <v>1.12</v>
      </c>
      <c r="K794" s="111">
        <f>(56*F794)/100</f>
        <v>19.6</v>
      </c>
      <c r="L794" s="263">
        <f>(F794*296)/100</f>
        <v>103.6</v>
      </c>
      <c r="N794" s="264"/>
    </row>
    <row r="795" spans="1:14" ht="13.5" thickBot="1">
      <c r="A795" s="47" t="s">
        <v>16</v>
      </c>
      <c r="B795" s="48"/>
      <c r="C795" s="48"/>
      <c r="D795" s="840"/>
      <c r="E795" s="51">
        <v>0.004</v>
      </c>
      <c r="F795" s="52">
        <v>4</v>
      </c>
      <c r="G795" s="53">
        <v>300</v>
      </c>
      <c r="H795" s="144">
        <f t="shared" si="4"/>
        <v>1.2</v>
      </c>
      <c r="I795" s="45">
        <f>(F795*1)/100</f>
        <v>0.04</v>
      </c>
      <c r="J795" s="45">
        <f>(F795*72.5)/100</f>
        <v>2.9</v>
      </c>
      <c r="K795" s="45">
        <f>(F795*1.4)/100</f>
        <v>0.055999999999999994</v>
      </c>
      <c r="L795" s="46">
        <f>(F795*662)/100</f>
        <v>26.48</v>
      </c>
      <c r="N795" s="264"/>
    </row>
    <row r="796" spans="1:14" ht="13.5" thickBot="1">
      <c r="A796" s="1780" t="s">
        <v>116</v>
      </c>
      <c r="B796" s="1860"/>
      <c r="C796" s="1860"/>
      <c r="D796" s="281">
        <v>45</v>
      </c>
      <c r="E796" s="282"/>
      <c r="F796" s="282"/>
      <c r="G796" s="283"/>
      <c r="H796" s="284">
        <f>H799+H798+H797</f>
        <v>3.7580000000000005</v>
      </c>
      <c r="I796" s="285">
        <f>I797+I798+I798</f>
        <v>0.182</v>
      </c>
      <c r="J796" s="285">
        <f>J797+J798+J798</f>
        <v>2.0120000000000005</v>
      </c>
      <c r="K796" s="285">
        <f>K797+K798+K798</f>
        <v>0.9660000000000001</v>
      </c>
      <c r="L796" s="285">
        <f>L797+L798+L798</f>
        <v>22.88</v>
      </c>
      <c r="N796" s="264"/>
    </row>
    <row r="797" spans="1:14" ht="12.75">
      <c r="A797" s="47" t="s">
        <v>37</v>
      </c>
      <c r="B797" s="48"/>
      <c r="C797" s="48"/>
      <c r="D797" s="840"/>
      <c r="E797" s="51">
        <v>0.002</v>
      </c>
      <c r="F797" s="52">
        <v>2</v>
      </c>
      <c r="G797" s="53">
        <v>129</v>
      </c>
      <c r="H797" s="144">
        <f>G797*E797</f>
        <v>0.258</v>
      </c>
      <c r="I797" s="257"/>
      <c r="J797" s="258">
        <f>(F797*99.9)/100</f>
        <v>1.9980000000000002</v>
      </c>
      <c r="K797" s="54"/>
      <c r="L797" s="259">
        <f>(F797*899)/100</f>
        <v>17.98</v>
      </c>
      <c r="N797" s="264"/>
    </row>
    <row r="798" spans="1:14" ht="12.75">
      <c r="A798" s="47" t="s">
        <v>34</v>
      </c>
      <c r="B798" s="48"/>
      <c r="C798" s="48"/>
      <c r="D798" s="840"/>
      <c r="E798" s="51">
        <v>0.01</v>
      </c>
      <c r="F798" s="52">
        <v>7</v>
      </c>
      <c r="G798" s="53">
        <v>70</v>
      </c>
      <c r="H798" s="144">
        <f>G798*E798</f>
        <v>0.7000000000000001</v>
      </c>
      <c r="I798" s="204">
        <f>(F798*1.3)/100</f>
        <v>0.091</v>
      </c>
      <c r="J798" s="204">
        <f>(F798*0.1)/100</f>
        <v>0.007000000000000001</v>
      </c>
      <c r="K798" s="204">
        <f>(F798*6.9)/100</f>
        <v>0.48300000000000004</v>
      </c>
      <c r="L798" s="512">
        <f>(F798*35)/100</f>
        <v>2.45</v>
      </c>
      <c r="N798" s="264"/>
    </row>
    <row r="799" spans="1:14" ht="13.5" thickBot="1">
      <c r="A799" s="340" t="s">
        <v>117</v>
      </c>
      <c r="B799" s="493"/>
      <c r="C799" s="493"/>
      <c r="D799" s="832"/>
      <c r="E799" s="498">
        <v>0.05</v>
      </c>
      <c r="F799" s="435">
        <v>40</v>
      </c>
      <c r="G799" s="32">
        <v>56</v>
      </c>
      <c r="H799" s="33">
        <f>E799*G799</f>
        <v>2.8000000000000003</v>
      </c>
      <c r="I799" s="85">
        <f>(1.8*F799)/100</f>
        <v>0.72</v>
      </c>
      <c r="J799" s="85">
        <f>(F799*0.1)/100</f>
        <v>0.04</v>
      </c>
      <c r="K799" s="85">
        <f>(F799*4.7)/100</f>
        <v>1.88</v>
      </c>
      <c r="L799" s="86">
        <f>(F799*28)/100</f>
        <v>11.2</v>
      </c>
      <c r="N799" s="264"/>
    </row>
    <row r="800" spans="1:12" ht="13.5" thickBot="1">
      <c r="A800" s="1774" t="s">
        <v>177</v>
      </c>
      <c r="B800" s="1842"/>
      <c r="C800" s="1842"/>
      <c r="D800" s="135">
        <v>150</v>
      </c>
      <c r="E800" s="1225"/>
      <c r="F800" s="1225"/>
      <c r="G800" s="138"/>
      <c r="H800" s="138">
        <f>H801+H802</f>
        <v>5.37</v>
      </c>
      <c r="I800" s="1226">
        <f>I801+I802</f>
        <v>0.07</v>
      </c>
      <c r="J800" s="1226">
        <f>J801+J802</f>
        <v>0.028000000000000004</v>
      </c>
      <c r="K800" s="1226">
        <f>K801+K802</f>
        <v>13.491999999999999</v>
      </c>
      <c r="L800" s="1226">
        <f>L801+L802</f>
        <v>55.79</v>
      </c>
    </row>
    <row r="801" spans="1:12" ht="12.75">
      <c r="A801" s="333" t="s">
        <v>131</v>
      </c>
      <c r="B801" s="1227"/>
      <c r="C801" s="1228"/>
      <c r="D801" s="1229"/>
      <c r="E801" s="721">
        <v>0.014</v>
      </c>
      <c r="F801" s="722">
        <v>14</v>
      </c>
      <c r="G801" s="144">
        <v>300</v>
      </c>
      <c r="H801" s="144">
        <f>G801*E801</f>
        <v>4.2</v>
      </c>
      <c r="I801" s="111">
        <f>(F801*0.5)/100</f>
        <v>0.07</v>
      </c>
      <c r="J801" s="111">
        <f>(F801*0.2)/100</f>
        <v>0.028000000000000004</v>
      </c>
      <c r="K801" s="111">
        <f>(F801*3.7)/100</f>
        <v>0.518</v>
      </c>
      <c r="L801" s="263">
        <f>(28*F801)/100</f>
        <v>3.92</v>
      </c>
    </row>
    <row r="802" spans="1:12" ht="13.5" thickBot="1">
      <c r="A802" s="37" t="s">
        <v>17</v>
      </c>
      <c r="B802" s="38"/>
      <c r="C802" s="292"/>
      <c r="D802" s="293"/>
      <c r="E802" s="41">
        <v>0.013000000000000001</v>
      </c>
      <c r="F802" s="42">
        <v>13</v>
      </c>
      <c r="G802" s="43">
        <v>90</v>
      </c>
      <c r="H802" s="43">
        <f>E802*G802</f>
        <v>1.1700000000000002</v>
      </c>
      <c r="I802" s="80"/>
      <c r="J802" s="80"/>
      <c r="K802" s="80">
        <f>(F802*99.8)/100</f>
        <v>12.973999999999998</v>
      </c>
      <c r="L802" s="81">
        <f>(F802*399)/100</f>
        <v>51.87</v>
      </c>
    </row>
    <row r="803" spans="1:12" ht="13.5" thickBot="1">
      <c r="A803" s="1774" t="s">
        <v>41</v>
      </c>
      <c r="B803" s="1842"/>
      <c r="C803" s="1843"/>
      <c r="D803" s="927">
        <v>30</v>
      </c>
      <c r="E803" s="66">
        <v>0.03</v>
      </c>
      <c r="F803" s="21">
        <v>30</v>
      </c>
      <c r="G803" s="22">
        <v>35</v>
      </c>
      <c r="H803" s="23">
        <f>E803*G803</f>
        <v>1.05</v>
      </c>
      <c r="I803" s="294">
        <f>(6.6*F803)/100</f>
        <v>1.98</v>
      </c>
      <c r="J803" s="294">
        <f>(1.2*F803)/100</f>
        <v>0.36</v>
      </c>
      <c r="K803" s="294">
        <f>(33.4*F803)/100</f>
        <v>10.02</v>
      </c>
      <c r="L803" s="67">
        <f>(174*F803)/100</f>
        <v>52.2</v>
      </c>
    </row>
    <row r="804" spans="1:14" ht="13.5" thickBot="1">
      <c r="A804" s="1776" t="s">
        <v>42</v>
      </c>
      <c r="B804" s="1828"/>
      <c r="C804" s="1844"/>
      <c r="D804" s="853">
        <v>20</v>
      </c>
      <c r="E804" s="66">
        <v>0.02</v>
      </c>
      <c r="F804" s="21">
        <v>20</v>
      </c>
      <c r="G804" s="22">
        <v>64</v>
      </c>
      <c r="H804" s="23">
        <f>E804*G804</f>
        <v>1.28</v>
      </c>
      <c r="I804" s="294">
        <f>(F804*8)/100</f>
        <v>1.6</v>
      </c>
      <c r="J804" s="294">
        <f>(F804*1)/100</f>
        <v>0.2</v>
      </c>
      <c r="K804" s="294">
        <f>(F804*49.1)/100</f>
        <v>9.82</v>
      </c>
      <c r="L804" s="67">
        <f>(F804*238)/100</f>
        <v>47.6</v>
      </c>
      <c r="N804" s="206"/>
    </row>
    <row r="805" spans="1:14" ht="12.75">
      <c r="A805" s="1230"/>
      <c r="B805" s="1231"/>
      <c r="C805" s="1231"/>
      <c r="D805" s="1232"/>
      <c r="E805" s="1233"/>
      <c r="F805" s="1233"/>
      <c r="G805" s="1234"/>
      <c r="H805" s="1234"/>
      <c r="I805" s="1233"/>
      <c r="J805" s="1235"/>
      <c r="K805" s="1233"/>
      <c r="L805" s="1236"/>
      <c r="N805" s="286"/>
    </row>
    <row r="806" spans="1:14" ht="15.75">
      <c r="A806" s="733"/>
      <c r="B806" s="675"/>
      <c r="C806" s="734" t="s">
        <v>43</v>
      </c>
      <c r="D806" s="735"/>
      <c r="E806" s="734"/>
      <c r="F806" s="734"/>
      <c r="G806" s="679"/>
      <c r="H806" s="679">
        <f>H804+H803+H800+H796+H789+H781</f>
        <v>51.795</v>
      </c>
      <c r="I806" s="734"/>
      <c r="J806" s="677"/>
      <c r="K806" s="675"/>
      <c r="L806" s="1237"/>
      <c r="N806" s="275"/>
    </row>
    <row r="807" spans="1:14" ht="16.5" thickBot="1">
      <c r="A807" s="1238"/>
      <c r="B807" s="1239" t="s">
        <v>24</v>
      </c>
      <c r="C807" s="1239"/>
      <c r="D807" s="1240"/>
      <c r="E807" s="1239"/>
      <c r="F807" s="1239"/>
      <c r="G807" s="1241"/>
      <c r="H807" s="1241"/>
      <c r="I807" s="1242">
        <f>I804+I803+I800+I796+I789+I781</f>
        <v>10.447</v>
      </c>
      <c r="J807" s="1242">
        <f>J804+J803+J800+J796+J789+J781</f>
        <v>23.494</v>
      </c>
      <c r="K807" s="1242">
        <f>K804+K803+K800+K796+K789+K781</f>
        <v>67.106</v>
      </c>
      <c r="L807" s="1242">
        <f>L804+L803+L800+L796+L789+L781</f>
        <v>555.2300000000001</v>
      </c>
      <c r="N807" s="275"/>
    </row>
    <row r="808" spans="1:14" ht="12.75">
      <c r="A808" s="931"/>
      <c r="B808" s="57"/>
      <c r="C808" s="634"/>
      <c r="D808" s="207"/>
      <c r="E808" s="634"/>
      <c r="F808" s="634"/>
      <c r="G808" s="210"/>
      <c r="H808" s="210"/>
      <c r="I808" s="57"/>
      <c r="J808" s="208"/>
      <c r="K808" s="57"/>
      <c r="L808" s="957">
        <f>L807/1400</f>
        <v>0.39659285714285725</v>
      </c>
      <c r="N808" s="421"/>
    </row>
    <row r="809" spans="1:14" ht="13.5" thickBot="1">
      <c r="A809" s="57"/>
      <c r="B809" s="634" t="s">
        <v>44</v>
      </c>
      <c r="C809" s="634" t="s">
        <v>105</v>
      </c>
      <c r="D809" s="208"/>
      <c r="E809" s="57"/>
      <c r="F809" s="57"/>
      <c r="G809" s="57"/>
      <c r="H809" s="57"/>
      <c r="I809" s="634"/>
      <c r="J809" s="634"/>
      <c r="K809" s="209"/>
      <c r="L809" s="208"/>
      <c r="N809" s="275"/>
    </row>
    <row r="810" spans="1:12" ht="13.5" thickBot="1">
      <c r="A810" s="1780" t="s">
        <v>178</v>
      </c>
      <c r="B810" s="1860"/>
      <c r="C810" s="1861"/>
      <c r="D810" s="556">
        <v>100</v>
      </c>
      <c r="E810" s="282"/>
      <c r="F810" s="282"/>
      <c r="G810" s="283"/>
      <c r="H810" s="284">
        <f>SUM(H811:H818)</f>
        <v>18.694</v>
      </c>
      <c r="I810" s="285">
        <f>SUM(I811:I817)</f>
        <v>13.404000000000002</v>
      </c>
      <c r="J810" s="285">
        <f>SUM(J811:J817)</f>
        <v>11.298</v>
      </c>
      <c r="K810" s="285">
        <f>SUM(K811:K817)</f>
        <v>13.788</v>
      </c>
      <c r="L810" s="285">
        <f>SUM(L811:L817)</f>
        <v>212.22000000000003</v>
      </c>
    </row>
    <row r="811" spans="1:12" ht="12.75">
      <c r="A811" s="238" t="s">
        <v>18</v>
      </c>
      <c r="B811" s="1455"/>
      <c r="C811" s="1455"/>
      <c r="D811" s="1456"/>
      <c r="E811" s="1457">
        <v>0.03</v>
      </c>
      <c r="F811" s="1458">
        <v>30</v>
      </c>
      <c r="G811" s="96">
        <v>72</v>
      </c>
      <c r="H811" s="96">
        <f>G811*E811</f>
        <v>2.16</v>
      </c>
      <c r="I811" s="643">
        <f>(2.9*F811)/100</f>
        <v>0.87</v>
      </c>
      <c r="J811" s="643">
        <f>(F811*2.5)/100</f>
        <v>0.75</v>
      </c>
      <c r="K811" s="643">
        <f>(4.8*F811)/100</f>
        <v>1.44</v>
      </c>
      <c r="L811" s="644">
        <f>(F811*60)/100</f>
        <v>18</v>
      </c>
    </row>
    <row r="812" spans="1:12" ht="12.75">
      <c r="A812" s="340" t="s">
        <v>37</v>
      </c>
      <c r="B812" s="341"/>
      <c r="C812" s="341"/>
      <c r="D812" s="517"/>
      <c r="E812" s="448">
        <v>0.002</v>
      </c>
      <c r="F812" s="560">
        <v>2</v>
      </c>
      <c r="G812" s="447">
        <v>129</v>
      </c>
      <c r="H812" s="200">
        <f>E812*G812</f>
        <v>0.258</v>
      </c>
      <c r="I812" s="521"/>
      <c r="J812" s="455">
        <f>(F812*99.9)/100</f>
        <v>1.9980000000000002</v>
      </c>
      <c r="K812" s="80"/>
      <c r="L812" s="522">
        <f>(F812*899)/100</f>
        <v>17.98</v>
      </c>
    </row>
    <row r="813" spans="1:12" ht="12.75">
      <c r="A813" s="340" t="s">
        <v>16</v>
      </c>
      <c r="B813" s="341"/>
      <c r="C813" s="341"/>
      <c r="D813" s="517"/>
      <c r="E813" s="562">
        <v>0.002</v>
      </c>
      <c r="F813" s="505">
        <v>2</v>
      </c>
      <c r="G813" s="214">
        <v>257</v>
      </c>
      <c r="H813" s="78">
        <f>G813*E813</f>
        <v>0.514</v>
      </c>
      <c r="I813" s="45">
        <f>(F813*1)/100</f>
        <v>0.02</v>
      </c>
      <c r="J813" s="45">
        <f>(F813*72.5)/100</f>
        <v>1.45</v>
      </c>
      <c r="K813" s="45">
        <f>(F813*1.4)/100</f>
        <v>0.027999999999999997</v>
      </c>
      <c r="L813" s="46">
        <f>(F813*662)/100</f>
        <v>13.24</v>
      </c>
    </row>
    <row r="814" spans="1:12" ht="12.75">
      <c r="A814" s="340" t="s">
        <v>46</v>
      </c>
      <c r="B814" s="341"/>
      <c r="C814" s="341"/>
      <c r="D814" s="517"/>
      <c r="E814" s="562">
        <v>0.01</v>
      </c>
      <c r="F814" s="564">
        <v>8</v>
      </c>
      <c r="G814" s="505">
        <v>230</v>
      </c>
      <c r="H814" s="535">
        <f>E814*G814</f>
        <v>2.3000000000000003</v>
      </c>
      <c r="I814" s="455">
        <f>(12.7*F814)/100</f>
        <v>1.016</v>
      </c>
      <c r="J814" s="455">
        <f>(F814*11.5)/100</f>
        <v>0.92</v>
      </c>
      <c r="K814" s="455">
        <f>(F814*0.7)/100</f>
        <v>0.05600000000000001</v>
      </c>
      <c r="L814" s="456">
        <f>(157*F814)/100</f>
        <v>12.56</v>
      </c>
    </row>
    <row r="815" spans="1:12" ht="12.75">
      <c r="A815" s="340" t="s">
        <v>84</v>
      </c>
      <c r="B815" s="341"/>
      <c r="C815" s="341"/>
      <c r="D815" s="517"/>
      <c r="E815" s="433">
        <v>0.07</v>
      </c>
      <c r="F815" s="434">
        <v>68</v>
      </c>
      <c r="G815" s="214">
        <v>180</v>
      </c>
      <c r="H815" s="78">
        <f>G815*E815</f>
        <v>12.600000000000001</v>
      </c>
      <c r="I815" s="54">
        <f>(16*F815)/100</f>
        <v>10.88</v>
      </c>
      <c r="J815" s="256">
        <f>(F815*9)/100</f>
        <v>6.12</v>
      </c>
      <c r="K815" s="256">
        <f>(3*F815)/100</f>
        <v>2.04</v>
      </c>
      <c r="L815" s="532">
        <f>(157*F815)/100</f>
        <v>106.76</v>
      </c>
    </row>
    <row r="816" spans="1:12" ht="12.75">
      <c r="A816" s="340" t="s">
        <v>17</v>
      </c>
      <c r="B816" s="341"/>
      <c r="C816" s="341"/>
      <c r="D816" s="517"/>
      <c r="E816" s="562">
        <v>0.006</v>
      </c>
      <c r="F816" s="505">
        <v>6</v>
      </c>
      <c r="G816" s="214">
        <v>90</v>
      </c>
      <c r="H816" s="78">
        <f>G816*E816</f>
        <v>0.54</v>
      </c>
      <c r="I816" s="80"/>
      <c r="J816" s="80"/>
      <c r="K816" s="80">
        <f>(F816*99.8)/100</f>
        <v>5.9879999999999995</v>
      </c>
      <c r="L816" s="81">
        <f>(F816*399)/100</f>
        <v>23.94</v>
      </c>
    </row>
    <row r="817" spans="1:12" ht="12.75">
      <c r="A817" s="340" t="s">
        <v>76</v>
      </c>
      <c r="B817" s="341"/>
      <c r="C817" s="341"/>
      <c r="D817" s="517"/>
      <c r="E817" s="77">
        <v>0.006</v>
      </c>
      <c r="F817" s="78">
        <v>6</v>
      </c>
      <c r="G817" s="78">
        <v>49</v>
      </c>
      <c r="H817" s="78">
        <f>G817*E817</f>
        <v>0.294</v>
      </c>
      <c r="I817" s="34">
        <f>(E817*10.3)/0.1</f>
        <v>0.618</v>
      </c>
      <c r="J817" s="35">
        <f>(F817*1)/100</f>
        <v>0.06</v>
      </c>
      <c r="K817" s="35">
        <f>(F817*70.6)/100</f>
        <v>4.236</v>
      </c>
      <c r="L817" s="36">
        <f>(F817*329)/100</f>
        <v>19.74</v>
      </c>
    </row>
    <row r="818" spans="1:12" ht="13.5" thickBot="1">
      <c r="A818" s="566" t="s">
        <v>86</v>
      </c>
      <c r="B818" s="567"/>
      <c r="C818" s="567"/>
      <c r="D818" s="568"/>
      <c r="E818" s="569">
        <v>2E-05</v>
      </c>
      <c r="F818" s="83">
        <v>0.02</v>
      </c>
      <c r="G818" s="78">
        <v>1400</v>
      </c>
      <c r="H818" s="78">
        <f>G818*E818</f>
        <v>0.028</v>
      </c>
      <c r="I818" s="570"/>
      <c r="J818" s="570"/>
      <c r="K818" s="570"/>
      <c r="L818" s="571"/>
    </row>
    <row r="819" spans="1:12" ht="13.5" thickBot="1">
      <c r="A819" s="360" t="s">
        <v>179</v>
      </c>
      <c r="B819" s="572"/>
      <c r="C819" s="573"/>
      <c r="D819" s="574">
        <v>30</v>
      </c>
      <c r="E819" s="575"/>
      <c r="F819" s="574"/>
      <c r="G819" s="576"/>
      <c r="H819" s="576">
        <f>H820</f>
        <v>4.68</v>
      </c>
      <c r="I819" s="577">
        <f>I820</f>
        <v>2.16</v>
      </c>
      <c r="J819" s="577">
        <f>J820</f>
        <v>2.55</v>
      </c>
      <c r="K819" s="577">
        <f>K820</f>
        <v>16.65</v>
      </c>
      <c r="L819" s="577">
        <f>L820</f>
        <v>98.4</v>
      </c>
    </row>
    <row r="820" spans="1:12" ht="13.5" thickBot="1">
      <c r="A820" s="578" t="s">
        <v>179</v>
      </c>
      <c r="B820" s="579"/>
      <c r="C820" s="580"/>
      <c r="D820" s="581"/>
      <c r="E820" s="582">
        <v>0.03</v>
      </c>
      <c r="F820" s="583">
        <v>30</v>
      </c>
      <c r="G820" s="584">
        <v>156</v>
      </c>
      <c r="H820" s="585">
        <f>E820*G820</f>
        <v>4.68</v>
      </c>
      <c r="I820" s="45">
        <f>(F820*7.2)/100</f>
        <v>2.16</v>
      </c>
      <c r="J820" s="45">
        <f>(F820*8.5)/100</f>
        <v>2.55</v>
      </c>
      <c r="K820" s="45">
        <f>(F820*55.5)/100</f>
        <v>16.65</v>
      </c>
      <c r="L820" s="46">
        <f>(F820*328)/100</f>
        <v>98.4</v>
      </c>
    </row>
    <row r="821" spans="1:12" ht="13.5" thickBot="1">
      <c r="A821" s="1780" t="s">
        <v>49</v>
      </c>
      <c r="B821" s="1860"/>
      <c r="C821" s="1860"/>
      <c r="D821" s="637">
        <v>150</v>
      </c>
      <c r="E821" s="282"/>
      <c r="F821" s="282"/>
      <c r="G821" s="283"/>
      <c r="H821" s="284">
        <f>H822+H823</f>
        <v>1.214</v>
      </c>
      <c r="I821" s="285">
        <f>SUM(I822:I823)</f>
        <v>0</v>
      </c>
      <c r="J821" s="285">
        <f>SUM(J822:J823)</f>
        <v>0</v>
      </c>
      <c r="K821" s="285">
        <f>SUM(K822:K823)</f>
        <v>10.978</v>
      </c>
      <c r="L821" s="285">
        <f>SUM(L822:L823)</f>
        <v>43.89</v>
      </c>
    </row>
    <row r="822" spans="1:12" ht="12.75">
      <c r="A822" s="56" t="s">
        <v>20</v>
      </c>
      <c r="B822" s="221"/>
      <c r="C822" s="57"/>
      <c r="D822" s="638"/>
      <c r="E822" s="639">
        <v>0.0005</v>
      </c>
      <c r="F822" s="60">
        <v>0.5</v>
      </c>
      <c r="G822" s="61">
        <v>448</v>
      </c>
      <c r="H822" s="192">
        <f>E822*G822</f>
        <v>0.224</v>
      </c>
      <c r="I822" s="191"/>
      <c r="J822" s="191"/>
      <c r="K822" s="191"/>
      <c r="L822" s="1243"/>
    </row>
    <row r="823" spans="1:12" ht="13.5" thickBot="1">
      <c r="A823" s="437" t="s">
        <v>17</v>
      </c>
      <c r="B823" s="438"/>
      <c r="C823" s="439"/>
      <c r="D823" s="440"/>
      <c r="E823" s="527">
        <v>0.011</v>
      </c>
      <c r="F823" s="442">
        <v>11</v>
      </c>
      <c r="G823" s="443">
        <v>90</v>
      </c>
      <c r="H823" s="642">
        <f>E823*G823</f>
        <v>0.99</v>
      </c>
      <c r="I823" s="358"/>
      <c r="J823" s="358"/>
      <c r="K823" s="358">
        <f>(F823*99.8)/100</f>
        <v>10.978</v>
      </c>
      <c r="L823" s="359">
        <f>(F823*399)/100</f>
        <v>43.89</v>
      </c>
    </row>
    <row r="824" spans="1:12" ht="15.75">
      <c r="A824" s="768"/>
      <c r="B824" s="769"/>
      <c r="C824" s="770" t="s">
        <v>50</v>
      </c>
      <c r="D824" s="658"/>
      <c r="E824" s="771"/>
      <c r="F824" s="771"/>
      <c r="G824" s="772"/>
      <c r="H824" s="660">
        <f>H821+H819+H810</f>
        <v>24.588</v>
      </c>
      <c r="I824" s="771"/>
      <c r="J824" s="1217"/>
      <c r="K824" s="771"/>
      <c r="L824" s="1244"/>
    </row>
    <row r="825" spans="1:12" ht="13.5" thickBot="1">
      <c r="A825" s="774"/>
      <c r="B825" s="775"/>
      <c r="C825" s="776" t="s">
        <v>24</v>
      </c>
      <c r="D825" s="777"/>
      <c r="E825" s="442"/>
      <c r="F825" s="442"/>
      <c r="G825" s="443"/>
      <c r="H825" s="443"/>
      <c r="I825" s="442"/>
      <c r="J825" s="1245"/>
      <c r="K825" s="442"/>
      <c r="L825" s="1246"/>
    </row>
    <row r="826" spans="1:12" ht="12.75" customHeight="1">
      <c r="A826" s="1247" t="s">
        <v>51</v>
      </c>
      <c r="B826" s="780"/>
      <c r="C826" s="780"/>
      <c r="D826" s="629"/>
      <c r="E826" s="781">
        <v>0.009000000000000001</v>
      </c>
      <c r="F826" s="430" t="s">
        <v>52</v>
      </c>
      <c r="G826" s="782">
        <v>20</v>
      </c>
      <c r="H826" s="952">
        <f>E826*G826</f>
        <v>0.18000000000000002</v>
      </c>
      <c r="I826" s="431"/>
      <c r="J826" s="783"/>
      <c r="K826" s="431"/>
      <c r="L826" s="1248"/>
    </row>
    <row r="827" spans="1:12" ht="12.75" customHeight="1">
      <c r="A827" s="1875" t="s">
        <v>24</v>
      </c>
      <c r="B827" s="1876"/>
      <c r="C827" s="1876"/>
      <c r="D827" s="1877"/>
      <c r="E827" s="1249"/>
      <c r="F827" s="1250"/>
      <c r="G827" s="1251"/>
      <c r="H827" s="1251"/>
      <c r="I827" s="1252">
        <f>I821+I819+I810</f>
        <v>15.564000000000002</v>
      </c>
      <c r="J827" s="1252">
        <f>J821+J819+J810</f>
        <v>13.847999999999999</v>
      </c>
      <c r="K827" s="1252">
        <f>K821+K819+K810</f>
        <v>41.416</v>
      </c>
      <c r="L827" s="1252">
        <f>L821+L819+L810</f>
        <v>354.51000000000005</v>
      </c>
    </row>
    <row r="828" spans="1:12" ht="15.75">
      <c r="A828" s="1253"/>
      <c r="B828" s="786"/>
      <c r="C828" s="787" t="s">
        <v>53</v>
      </c>
      <c r="D828" s="788"/>
      <c r="E828" s="786"/>
      <c r="F828" s="787"/>
      <c r="G828" s="789"/>
      <c r="H828" s="789">
        <f>H826+H824+H806+H778+H771</f>
        <v>100.696</v>
      </c>
      <c r="I828" s="790"/>
      <c r="J828" s="791"/>
      <c r="K828" s="790"/>
      <c r="L828" s="1254">
        <f>L827/1400</f>
        <v>0.2532214285714286</v>
      </c>
    </row>
    <row r="829" spans="1:12" ht="12.75">
      <c r="A829" s="1247"/>
      <c r="B829" s="431"/>
      <c r="C829" s="780"/>
      <c r="D829" s="629"/>
      <c r="E829" s="793"/>
      <c r="F829" s="430" t="s">
        <v>24</v>
      </c>
      <c r="G829" s="782"/>
      <c r="H829" s="782"/>
      <c r="I829" s="780"/>
      <c r="J829" s="629"/>
      <c r="K829" s="780"/>
      <c r="L829" s="1255"/>
    </row>
    <row r="830" spans="1:12" ht="13.5" thickBot="1">
      <c r="A830" s="1256" t="s">
        <v>54</v>
      </c>
      <c r="B830" s="1257"/>
      <c r="C830" s="740"/>
      <c r="D830" s="741"/>
      <c r="E830" s="740"/>
      <c r="F830" s="740"/>
      <c r="G830" s="742"/>
      <c r="H830" s="742"/>
      <c r="I830" s="743">
        <f>I827+I807+I775+I772</f>
        <v>33.646</v>
      </c>
      <c r="J830" s="743">
        <f>J827+J807+J775+J772</f>
        <v>46.733</v>
      </c>
      <c r="K830" s="1258">
        <f>K827+K807+K775+K772</f>
        <v>171.045</v>
      </c>
      <c r="L830" s="743">
        <f>L827+L807+L775+L772</f>
        <v>1288.4300000000003</v>
      </c>
    </row>
    <row r="831" spans="1:12" ht="12.75">
      <c r="A831" s="618"/>
      <c r="B831" s="618"/>
      <c r="C831" s="618"/>
      <c r="D831" s="796"/>
      <c r="E831" s="618"/>
      <c r="F831" s="618"/>
      <c r="G831" s="618"/>
      <c r="H831" s="618"/>
      <c r="I831" s="618"/>
      <c r="J831" s="618"/>
      <c r="K831" s="618"/>
      <c r="L831" s="797">
        <f>L830/1400</f>
        <v>0.9203071428571431</v>
      </c>
    </row>
    <row r="832" spans="1:12" ht="12.75">
      <c r="A832" s="618"/>
      <c r="B832" s="618"/>
      <c r="C832" s="618"/>
      <c r="D832" s="796"/>
      <c r="E832" s="618"/>
      <c r="F832" s="618"/>
      <c r="G832" s="618"/>
      <c r="H832" s="618"/>
      <c r="I832" s="618"/>
      <c r="J832" s="618"/>
      <c r="K832" s="618"/>
      <c r="L832" s="797"/>
    </row>
    <row r="833" spans="1:12" ht="12.75">
      <c r="A833" s="618"/>
      <c r="B833" s="618"/>
      <c r="C833" s="618"/>
      <c r="D833" s="796"/>
      <c r="E833" s="618"/>
      <c r="F833" s="618"/>
      <c r="G833" s="618"/>
      <c r="H833" s="618"/>
      <c r="I833" s="618"/>
      <c r="J833" s="618"/>
      <c r="K833" s="618"/>
      <c r="L833" s="797"/>
    </row>
    <row r="834" spans="1:12" ht="12.75">
      <c r="A834" s="618"/>
      <c r="B834" s="618"/>
      <c r="C834" s="618"/>
      <c r="D834" s="796"/>
      <c r="E834" s="618"/>
      <c r="F834" s="618"/>
      <c r="G834" s="618"/>
      <c r="H834" s="618"/>
      <c r="I834" s="618"/>
      <c r="J834" s="618"/>
      <c r="K834" s="618"/>
      <c r="L834" s="797"/>
    </row>
    <row r="835" spans="1:12" ht="12.75">
      <c r="A835" s="618"/>
      <c r="B835" s="618"/>
      <c r="C835" s="618"/>
      <c r="D835" s="796"/>
      <c r="E835" s="618"/>
      <c r="F835" s="618"/>
      <c r="G835" s="618"/>
      <c r="H835" s="618"/>
      <c r="I835" s="618"/>
      <c r="J835" s="618"/>
      <c r="K835" s="618"/>
      <c r="L835" s="797"/>
    </row>
    <row r="836" spans="1:12" ht="12.75">
      <c r="A836" s="618"/>
      <c r="B836" s="618"/>
      <c r="C836" s="618"/>
      <c r="D836" s="796"/>
      <c r="E836" s="618"/>
      <c r="F836" s="618"/>
      <c r="G836" s="618"/>
      <c r="H836" s="618"/>
      <c r="I836" s="618"/>
      <c r="J836" s="618"/>
      <c r="K836" s="618"/>
      <c r="L836" s="797"/>
    </row>
    <row r="837" spans="1:12" ht="12.75">
      <c r="A837" s="618"/>
      <c r="B837" s="618"/>
      <c r="C837" s="618"/>
      <c r="D837" s="796"/>
      <c r="E837" s="618"/>
      <c r="F837" s="618"/>
      <c r="G837" s="618"/>
      <c r="H837" s="618"/>
      <c r="I837" s="618"/>
      <c r="J837" s="618"/>
      <c r="K837" s="618"/>
      <c r="L837" s="797"/>
    </row>
    <row r="838" spans="1:12" ht="12.75">
      <c r="A838" s="618"/>
      <c r="B838" s="618"/>
      <c r="C838" s="618"/>
      <c r="D838" s="796"/>
      <c r="E838" s="618"/>
      <c r="F838" s="618"/>
      <c r="G838" s="618"/>
      <c r="H838" s="618"/>
      <c r="I838" s="618"/>
      <c r="J838" s="618"/>
      <c r="K838" s="618"/>
      <c r="L838" s="797"/>
    </row>
    <row r="839" spans="1:12" ht="12.75">
      <c r="A839" s="618"/>
      <c r="B839" s="618"/>
      <c r="C839" s="618"/>
      <c r="D839" s="796"/>
      <c r="E839" s="618"/>
      <c r="F839" s="618"/>
      <c r="G839" s="618"/>
      <c r="H839" s="618"/>
      <c r="I839" s="618"/>
      <c r="J839" s="618"/>
      <c r="K839" s="618"/>
      <c r="L839" s="797"/>
    </row>
    <row r="840" spans="1:12" ht="12.75">
      <c r="A840" s="618"/>
      <c r="B840" s="618"/>
      <c r="C840" s="618"/>
      <c r="D840" s="796"/>
      <c r="E840" s="618"/>
      <c r="F840" s="618"/>
      <c r="G840" s="618"/>
      <c r="H840" s="618"/>
      <c r="I840" s="618"/>
      <c r="J840" s="618"/>
      <c r="K840" s="618"/>
      <c r="L840" s="797"/>
    </row>
    <row r="841" spans="1:12" ht="12.75">
      <c r="A841" s="618"/>
      <c r="B841" s="618"/>
      <c r="C841" s="618"/>
      <c r="D841" s="796"/>
      <c r="E841" s="618"/>
      <c r="F841" s="618"/>
      <c r="G841" s="618"/>
      <c r="H841" s="618"/>
      <c r="I841" s="618"/>
      <c r="J841" s="618"/>
      <c r="K841" s="618"/>
      <c r="L841" s="797"/>
    </row>
    <row r="842" spans="1:12" ht="12.75">
      <c r="A842" s="618"/>
      <c r="B842" s="618"/>
      <c r="C842" s="618"/>
      <c r="D842" s="796"/>
      <c r="E842" s="618"/>
      <c r="F842" s="618"/>
      <c r="G842" s="618"/>
      <c r="H842" s="618"/>
      <c r="I842" s="618"/>
      <c r="J842" s="618"/>
      <c r="K842" s="618"/>
      <c r="L842" s="797"/>
    </row>
    <row r="843" spans="1:12" ht="12.75">
      <c r="A843" s="618"/>
      <c r="B843" s="618"/>
      <c r="C843" s="618"/>
      <c r="D843" s="796"/>
      <c r="E843" s="618"/>
      <c r="F843" s="618"/>
      <c r="G843" s="618"/>
      <c r="H843" s="618"/>
      <c r="I843" s="618"/>
      <c r="J843" s="618"/>
      <c r="K843" s="618"/>
      <c r="L843" s="797"/>
    </row>
    <row r="844" spans="1:13" ht="15">
      <c r="A844" s="798"/>
      <c r="B844" s="798"/>
      <c r="C844" s="798"/>
      <c r="D844" s="619"/>
      <c r="E844" s="798"/>
      <c r="F844" s="798"/>
      <c r="G844" s="799"/>
      <c r="H844" s="799"/>
      <c r="I844" s="800" t="s">
        <v>180</v>
      </c>
      <c r="J844" s="621"/>
      <c r="K844" s="621"/>
      <c r="L844" s="621"/>
      <c r="M844" s="618"/>
    </row>
    <row r="845" spans="1:13" ht="12.75">
      <c r="A845" s="618"/>
      <c r="B845" s="618"/>
      <c r="C845" s="618"/>
      <c r="D845" s="619" t="s">
        <v>231</v>
      </c>
      <c r="E845" s="618"/>
      <c r="F845" s="618"/>
      <c r="G845" s="620"/>
      <c r="H845" s="620"/>
      <c r="I845" s="621"/>
      <c r="J845" s="621"/>
      <c r="K845" s="621"/>
      <c r="L845" s="621"/>
      <c r="M845" s="618"/>
    </row>
    <row r="846" spans="1:13" ht="25.5">
      <c r="A846" s="1849" t="s">
        <v>2</v>
      </c>
      <c r="B846" s="1850"/>
      <c r="C846" s="1851"/>
      <c r="D846" s="622" t="s">
        <v>3</v>
      </c>
      <c r="E846" s="623" t="s">
        <v>4</v>
      </c>
      <c r="F846" s="623" t="s">
        <v>5</v>
      </c>
      <c r="G846" s="624" t="s">
        <v>6</v>
      </c>
      <c r="H846" s="625" t="s">
        <v>7</v>
      </c>
      <c r="I846" s="626" t="s">
        <v>8</v>
      </c>
      <c r="J846" s="626" t="s">
        <v>9</v>
      </c>
      <c r="K846" s="627" t="s">
        <v>10</v>
      </c>
      <c r="L846" s="626" t="s">
        <v>11</v>
      </c>
      <c r="M846" s="57"/>
    </row>
    <row r="847" spans="1:13" ht="12.75">
      <c r="A847" s="1852"/>
      <c r="B847" s="1853"/>
      <c r="C847" s="1854"/>
      <c r="D847" s="628"/>
      <c r="E847" s="629"/>
      <c r="F847" s="629"/>
      <c r="G847" s="630"/>
      <c r="H847" s="630"/>
      <c r="I847" s="631" t="s">
        <v>12</v>
      </c>
      <c r="J847" s="631"/>
      <c r="K847" s="631"/>
      <c r="L847" s="632"/>
      <c r="M847" s="57"/>
    </row>
    <row r="848" spans="1:13" ht="13.5" thickBot="1">
      <c r="A848" s="211" t="s">
        <v>57</v>
      </c>
      <c r="B848" s="633">
        <v>0.3333333333333333</v>
      </c>
      <c r="C848" s="634"/>
      <c r="D848" s="207"/>
      <c r="E848" s="634"/>
      <c r="F848" s="634"/>
      <c r="G848" s="210"/>
      <c r="H848" s="210"/>
      <c r="I848" s="211"/>
      <c r="J848" s="211"/>
      <c r="K848" s="211"/>
      <c r="L848" s="211"/>
      <c r="M848" s="618"/>
    </row>
    <row r="849" spans="1:13" ht="13.5" thickBot="1">
      <c r="A849" s="1773" t="s">
        <v>242</v>
      </c>
      <c r="B849" s="1848"/>
      <c r="C849" s="1848"/>
      <c r="D849" s="20">
        <v>150</v>
      </c>
      <c r="E849" s="21"/>
      <c r="F849" s="21"/>
      <c r="G849" s="22"/>
      <c r="H849" s="23">
        <f>H850+H851+H853+H852</f>
        <v>12.224999999999998</v>
      </c>
      <c r="I849" s="24">
        <f>SUM(I850:I853)</f>
        <v>5.46</v>
      </c>
      <c r="J849" s="24">
        <f>SUM(J850:J853)</f>
        <v>6.345</v>
      </c>
      <c r="K849" s="24">
        <f>SUM(K850:K853)</f>
        <v>19.729999999999997</v>
      </c>
      <c r="L849" s="24">
        <f>SUM(L850:L853)</f>
        <v>167.15</v>
      </c>
      <c r="M849" s="618"/>
    </row>
    <row r="850" spans="1:13" ht="12.75">
      <c r="A850" s="27" t="s">
        <v>92</v>
      </c>
      <c r="B850" s="28"/>
      <c r="C850" s="28"/>
      <c r="D850" s="29"/>
      <c r="E850" s="30">
        <v>0.015</v>
      </c>
      <c r="F850" s="31">
        <v>15</v>
      </c>
      <c r="G850" s="214">
        <v>93</v>
      </c>
      <c r="H850" s="215">
        <f>G850*E850</f>
        <v>1.395</v>
      </c>
      <c r="I850" s="85">
        <f>(11*F850)/100</f>
        <v>1.65</v>
      </c>
      <c r="J850" s="85">
        <f>(1.3*F850)/100</f>
        <v>0.195</v>
      </c>
      <c r="K850" s="85">
        <f>(69.6*F850)/100</f>
        <v>10.44</v>
      </c>
      <c r="L850" s="86">
        <f>(338*F850)/100</f>
        <v>50.7</v>
      </c>
      <c r="M850" s="618"/>
    </row>
    <row r="851" spans="1:13" ht="12.75">
      <c r="A851" s="37" t="s">
        <v>16</v>
      </c>
      <c r="B851" s="38"/>
      <c r="C851" s="39"/>
      <c r="D851" s="40"/>
      <c r="E851" s="41">
        <v>0.004</v>
      </c>
      <c r="F851" s="42">
        <v>4</v>
      </c>
      <c r="G851" s="43">
        <v>300</v>
      </c>
      <c r="H851" s="44">
        <f>E851*G851</f>
        <v>1.2</v>
      </c>
      <c r="I851" s="45">
        <f>(F851*1)/100</f>
        <v>0.04</v>
      </c>
      <c r="J851" s="45">
        <f>(F851*72.5)/100</f>
        <v>2.9</v>
      </c>
      <c r="K851" s="45">
        <f>(F851*1.4)/100</f>
        <v>0.055999999999999994</v>
      </c>
      <c r="L851" s="46">
        <f>(F851*662)/100</f>
        <v>26.48</v>
      </c>
      <c r="M851" s="618"/>
    </row>
    <row r="852" spans="1:13" ht="12.75">
      <c r="A852" s="47" t="s">
        <v>17</v>
      </c>
      <c r="B852" s="48"/>
      <c r="C852" s="49"/>
      <c r="D852" s="50"/>
      <c r="E852" s="51">
        <v>0.003</v>
      </c>
      <c r="F852" s="52">
        <v>3</v>
      </c>
      <c r="G852" s="53">
        <v>90</v>
      </c>
      <c r="H852" s="53">
        <f>E852*G852</f>
        <v>0.27</v>
      </c>
      <c r="I852" s="54"/>
      <c r="J852" s="54"/>
      <c r="K852" s="54">
        <f>(F852*99.8)/100</f>
        <v>2.9939999999999998</v>
      </c>
      <c r="L852" s="55">
        <f>(F852*399)/100</f>
        <v>11.97</v>
      </c>
      <c r="M852" s="618"/>
    </row>
    <row r="853" spans="1:13" ht="13.5" thickBot="1">
      <c r="A853" s="56" t="s">
        <v>18</v>
      </c>
      <c r="B853" s="57"/>
      <c r="C853" s="57"/>
      <c r="D853" s="58"/>
      <c r="E853" s="59">
        <v>0.13</v>
      </c>
      <c r="F853" s="60">
        <v>130</v>
      </c>
      <c r="G853" s="61">
        <v>72</v>
      </c>
      <c r="H853" s="62">
        <f>E853*G853</f>
        <v>9.36</v>
      </c>
      <c r="I853" s="63">
        <f>(2.9*F853)/100</f>
        <v>3.77</v>
      </c>
      <c r="J853" s="63">
        <f>(F853*2.5)/100</f>
        <v>3.25</v>
      </c>
      <c r="K853" s="63">
        <f>(4.8*F853)/100</f>
        <v>6.24</v>
      </c>
      <c r="L853" s="64">
        <f>(F853*60)/100</f>
        <v>78</v>
      </c>
      <c r="M853" s="618"/>
    </row>
    <row r="854" spans="1:13" ht="13.5" thickBot="1">
      <c r="A854" s="1773" t="s">
        <v>126</v>
      </c>
      <c r="B854" s="1848"/>
      <c r="C854" s="1848"/>
      <c r="D854" s="65">
        <v>150</v>
      </c>
      <c r="E854" s="178"/>
      <c r="F854" s="178"/>
      <c r="G854" s="180"/>
      <c r="H854" s="348">
        <f>H855+H856+H857</f>
        <v>11.61</v>
      </c>
      <c r="I854" s="445">
        <f>SUM(I855:I857)</f>
        <v>3.77</v>
      </c>
      <c r="J854" s="181">
        <f>SUM(J855:J857)</f>
        <v>3.25</v>
      </c>
      <c r="K854" s="445">
        <f>SUM(K855:K857)</f>
        <v>17.218</v>
      </c>
      <c r="L854" s="349">
        <f>SUM(L855:L857)</f>
        <v>121.89</v>
      </c>
      <c r="M854" s="618"/>
    </row>
    <row r="855" spans="1:13" ht="12.75">
      <c r="A855" s="27" t="s">
        <v>127</v>
      </c>
      <c r="B855" s="286"/>
      <c r="C855" s="28"/>
      <c r="D855" s="71"/>
      <c r="E855" s="30">
        <v>0.002</v>
      </c>
      <c r="F855" s="31">
        <v>2</v>
      </c>
      <c r="G855" s="446">
        <v>630</v>
      </c>
      <c r="H855" s="447">
        <f>E855*G855</f>
        <v>1.26</v>
      </c>
      <c r="I855" s="31"/>
      <c r="J855" s="63"/>
      <c r="K855" s="31"/>
      <c r="L855" s="64"/>
      <c r="M855" s="618"/>
    </row>
    <row r="856" spans="1:13" ht="12.75">
      <c r="A856" s="217" t="s">
        <v>17</v>
      </c>
      <c r="B856" s="218"/>
      <c r="C856" s="398"/>
      <c r="D856" s="71"/>
      <c r="E856" s="448">
        <v>0.011</v>
      </c>
      <c r="F856" s="449">
        <v>11</v>
      </c>
      <c r="G856" s="447">
        <v>90</v>
      </c>
      <c r="H856" s="447">
        <f>E856*G856</f>
        <v>0.99</v>
      </c>
      <c r="I856" s="80"/>
      <c r="J856" s="80"/>
      <c r="K856" s="80">
        <f>(F856*99.8)/100</f>
        <v>10.978</v>
      </c>
      <c r="L856" s="81">
        <f>(F856*399)/100</f>
        <v>43.89</v>
      </c>
      <c r="M856" s="618"/>
    </row>
    <row r="857" spans="1:13" ht="13.5" thickBot="1">
      <c r="A857" s="1685" t="s">
        <v>18</v>
      </c>
      <c r="B857" s="1686"/>
      <c r="C857" s="1687"/>
      <c r="D857" s="1688"/>
      <c r="E857" s="1689">
        <v>0.13</v>
      </c>
      <c r="F857" s="1690">
        <v>130</v>
      </c>
      <c r="G857" s="1691">
        <v>72</v>
      </c>
      <c r="H857" s="1692">
        <f>E857*G857</f>
        <v>9.36</v>
      </c>
      <c r="I857" s="1693">
        <f>(2.9*F857)/100</f>
        <v>3.77</v>
      </c>
      <c r="J857" s="1693">
        <f>(F857*2.5)/100</f>
        <v>3.25</v>
      </c>
      <c r="K857" s="1693">
        <f>(4.8*F857)/100</f>
        <v>6.24</v>
      </c>
      <c r="L857" s="1694">
        <f>(F857*60)/100</f>
        <v>78</v>
      </c>
      <c r="M857" s="618"/>
    </row>
    <row r="858" spans="1:13" ht="13.5" thickBot="1">
      <c r="A858" s="1776" t="s">
        <v>112</v>
      </c>
      <c r="B858" s="1828"/>
      <c r="C858" s="1828"/>
      <c r="D858" s="809" t="s">
        <v>239</v>
      </c>
      <c r="E858" s="330"/>
      <c r="F858" s="331"/>
      <c r="G858" s="105"/>
      <c r="H858" s="106">
        <f>H859+H860</f>
        <v>4.16</v>
      </c>
      <c r="I858" s="108">
        <f>I859+I861+I1149+I860</f>
        <v>2.88</v>
      </c>
      <c r="J858" s="108">
        <f>J859+J861+J1149+J860</f>
        <v>1.505</v>
      </c>
      <c r="K858" s="108">
        <f>K859+K861+K1149+K860</f>
        <v>9.82</v>
      </c>
      <c r="L858" s="108">
        <f>L859+L861+L1149+L860</f>
        <v>64.75</v>
      </c>
      <c r="M858" s="618"/>
    </row>
    <row r="859" spans="1:13" ht="12.75">
      <c r="A859" s="810" t="s">
        <v>42</v>
      </c>
      <c r="B859" s="811"/>
      <c r="C859" s="812"/>
      <c r="D859" s="813"/>
      <c r="E859" s="814">
        <v>0.02</v>
      </c>
      <c r="F859" s="815">
        <v>20</v>
      </c>
      <c r="G859" s="816">
        <v>64</v>
      </c>
      <c r="H859" s="816">
        <f>E859*G859</f>
        <v>1.28</v>
      </c>
      <c r="I859" s="257">
        <f>(F859*8)/100</f>
        <v>1.6</v>
      </c>
      <c r="J859" s="257">
        <f>(F859*1)/100</f>
        <v>0.2</v>
      </c>
      <c r="K859" s="257">
        <f>(F859*49.1)/100</f>
        <v>9.82</v>
      </c>
      <c r="L859" s="817">
        <f>(F859*238)/100</f>
        <v>47.6</v>
      </c>
      <c r="M859" s="618"/>
    </row>
    <row r="860" spans="1:13" ht="13.5" thickBot="1">
      <c r="A860" s="457" t="s">
        <v>65</v>
      </c>
      <c r="B860" s="458"/>
      <c r="C860" s="458"/>
      <c r="D860" s="459"/>
      <c r="E860" s="460">
        <v>0.006</v>
      </c>
      <c r="F860" s="461">
        <v>5</v>
      </c>
      <c r="G860" s="461">
        <v>480</v>
      </c>
      <c r="H860" s="461">
        <f>G860*E860</f>
        <v>2.88</v>
      </c>
      <c r="I860" s="461">
        <f>(25.6*F860)/100</f>
        <v>1.28</v>
      </c>
      <c r="J860" s="461">
        <f>(26.1*F860)/100</f>
        <v>1.305</v>
      </c>
      <c r="K860" s="461"/>
      <c r="L860" s="462">
        <f>(F860*343)/100</f>
        <v>17.15</v>
      </c>
      <c r="M860" s="57"/>
    </row>
    <row r="861" spans="1:13" ht="12.75">
      <c r="A861" s="56"/>
      <c r="B861" s="57"/>
      <c r="C861" s="57"/>
      <c r="D861" s="208"/>
      <c r="E861" s="208"/>
      <c r="F861" s="208"/>
      <c r="G861" s="209"/>
      <c r="H861" s="209"/>
      <c r="I861" s="223"/>
      <c r="J861" s="223"/>
      <c r="K861" s="223"/>
      <c r="L861" s="732"/>
      <c r="M861" s="618"/>
    </row>
    <row r="862" spans="1:13" ht="15.75">
      <c r="A862" s="656" t="s">
        <v>23</v>
      </c>
      <c r="B862" s="657"/>
      <c r="C862" s="657"/>
      <c r="D862" s="658"/>
      <c r="E862" s="659"/>
      <c r="F862" s="658"/>
      <c r="G862" s="660"/>
      <c r="H862" s="660">
        <f>H858+H854+H849</f>
        <v>27.994999999999997</v>
      </c>
      <c r="I862" s="661"/>
      <c r="J862" s="661"/>
      <c r="K862" s="662"/>
      <c r="L862" s="663"/>
      <c r="M862" s="57"/>
    </row>
    <row r="863" spans="1:13" ht="13.5" thickBot="1">
      <c r="A863" s="664"/>
      <c r="B863" s="683" t="s">
        <v>24</v>
      </c>
      <c r="C863" s="666"/>
      <c r="D863" s="667"/>
      <c r="E863" s="668"/>
      <c r="F863" s="667"/>
      <c r="G863" s="669"/>
      <c r="H863" s="669"/>
      <c r="I863" s="670">
        <f>I858+I854+I849</f>
        <v>12.11</v>
      </c>
      <c r="J863" s="670">
        <f>J858+J854+J849</f>
        <v>11.1</v>
      </c>
      <c r="K863" s="670">
        <f>K858+K854+K849</f>
        <v>46.768</v>
      </c>
      <c r="L863" s="670">
        <f>L858+L854+L849</f>
        <v>353.78999999999996</v>
      </c>
      <c r="M863" s="57"/>
    </row>
    <row r="864" spans="1:13" ht="12.75">
      <c r="A864" s="1259"/>
      <c r="B864" s="206"/>
      <c r="C864" s="206"/>
      <c r="D864" s="207"/>
      <c r="E864" s="671"/>
      <c r="F864" s="207"/>
      <c r="G864" s="210"/>
      <c r="H864" s="210"/>
      <c r="I864" s="211"/>
      <c r="J864" s="211"/>
      <c r="K864" s="672"/>
      <c r="L864" s="1260">
        <f>L863/1400</f>
        <v>0.25270714285714285</v>
      </c>
      <c r="M864" s="618"/>
    </row>
    <row r="865" spans="1:13" ht="13.5" thickBot="1">
      <c r="A865" s="1804" t="s">
        <v>66</v>
      </c>
      <c r="B865" s="1790"/>
      <c r="C865" s="1790"/>
      <c r="D865" s="208"/>
      <c r="E865" s="208"/>
      <c r="F865" s="208"/>
      <c r="G865" s="209"/>
      <c r="H865" s="209"/>
      <c r="I865" s="211"/>
      <c r="J865" s="223"/>
      <c r="K865" s="673"/>
      <c r="L865" s="732"/>
      <c r="M865" s="618"/>
    </row>
    <row r="866" spans="1:13" ht="13.5" thickBot="1">
      <c r="A866" s="1776" t="s">
        <v>26</v>
      </c>
      <c r="B866" s="1828"/>
      <c r="C866" s="1828"/>
      <c r="D866" s="103">
        <v>100</v>
      </c>
      <c r="E866" s="104"/>
      <c r="F866" s="104"/>
      <c r="G866" s="105"/>
      <c r="H866" s="106">
        <f>H867</f>
        <v>7</v>
      </c>
      <c r="I866" s="139"/>
      <c r="J866" s="140">
        <f>J867</f>
        <v>0</v>
      </c>
      <c r="K866" s="140">
        <f>K867</f>
        <v>10.1</v>
      </c>
      <c r="L866" s="140">
        <f>L867</f>
        <v>46</v>
      </c>
      <c r="M866" s="57"/>
    </row>
    <row r="867" spans="1:13" ht="12.75">
      <c r="A867" s="1855"/>
      <c r="B867" s="1856"/>
      <c r="C867" s="1857"/>
      <c r="D867" s="109"/>
      <c r="E867" s="110">
        <v>0.1</v>
      </c>
      <c r="F867" s="111">
        <v>100</v>
      </c>
      <c r="G867" s="112">
        <v>70</v>
      </c>
      <c r="H867" s="113">
        <f>E867*G867</f>
        <v>7</v>
      </c>
      <c r="I867" s="143"/>
      <c r="J867" s="143"/>
      <c r="K867" s="143">
        <f>(10.1*F867)/100</f>
        <v>10.1</v>
      </c>
      <c r="L867" s="146">
        <f>(F867*46)/100</f>
        <v>46</v>
      </c>
      <c r="M867" s="57"/>
    </row>
    <row r="868" spans="1:13" ht="12.75">
      <c r="A868" s="593"/>
      <c r="B868" s="337"/>
      <c r="C868" s="96"/>
      <c r="D868" s="50"/>
      <c r="E868" s="95"/>
      <c r="F868" s="96"/>
      <c r="G868" s="97"/>
      <c r="H868" s="97"/>
      <c r="I868" s="204"/>
      <c r="J868" s="204"/>
      <c r="K868" s="204"/>
      <c r="L868" s="205"/>
      <c r="M868" s="57"/>
    </row>
    <row r="869" spans="1:13" ht="15.75" thickBot="1">
      <c r="A869" s="457" t="s">
        <v>17</v>
      </c>
      <c r="B869" s="458"/>
      <c r="C869" s="474"/>
      <c r="D869" s="475"/>
      <c r="E869" s="476"/>
      <c r="F869" s="477"/>
      <c r="G869" s="478"/>
      <c r="H869" s="478"/>
      <c r="I869" s="479"/>
      <c r="J869" s="479"/>
      <c r="K869" s="479"/>
      <c r="L869" s="480"/>
      <c r="M869" s="1261"/>
    </row>
    <row r="870" spans="1:14" ht="15.75">
      <c r="A870" s="674" t="s">
        <v>27</v>
      </c>
      <c r="B870" s="675"/>
      <c r="C870" s="676"/>
      <c r="D870" s="677"/>
      <c r="E870" s="677"/>
      <c r="F870" s="677"/>
      <c r="G870" s="678"/>
      <c r="H870" s="679">
        <f>H866</f>
        <v>7</v>
      </c>
      <c r="I870" s="680"/>
      <c r="J870" s="680"/>
      <c r="K870" s="680"/>
      <c r="L870" s="897">
        <f>L866/1400</f>
        <v>0.032857142857142856</v>
      </c>
      <c r="M870" s="618"/>
      <c r="N870" s="221"/>
    </row>
    <row r="871" spans="1:14" ht="13.5" thickBot="1">
      <c r="A871" s="682"/>
      <c r="B871" s="683" t="s">
        <v>24</v>
      </c>
      <c r="C871" s="683"/>
      <c r="D871" s="667"/>
      <c r="E871" s="667"/>
      <c r="F871" s="667"/>
      <c r="G871" s="669"/>
      <c r="H871" s="669"/>
      <c r="I871" s="1262">
        <f>I866</f>
        <v>0</v>
      </c>
      <c r="J871" s="1262">
        <f>J866</f>
        <v>0</v>
      </c>
      <c r="K871" s="1262">
        <f>K866</f>
        <v>10.1</v>
      </c>
      <c r="L871" s="1262">
        <f>L866</f>
        <v>46</v>
      </c>
      <c r="M871" s="618"/>
      <c r="N871" s="221"/>
    </row>
    <row r="872" spans="1:14" ht="13.5" thickBot="1">
      <c r="A872" s="826" t="s">
        <v>67</v>
      </c>
      <c r="B872" s="822">
        <v>0.5</v>
      </c>
      <c r="C872" s="823"/>
      <c r="D872" s="824"/>
      <c r="E872" s="824"/>
      <c r="F872" s="824"/>
      <c r="G872" s="825"/>
      <c r="H872" s="825"/>
      <c r="I872" s="826"/>
      <c r="J872" s="826"/>
      <c r="K872" s="827"/>
      <c r="L872" s="828"/>
      <c r="M872" s="618"/>
      <c r="N872" s="221"/>
    </row>
    <row r="873" spans="1:14" ht="13.5" thickBot="1">
      <c r="A873" s="1836" t="s">
        <v>182</v>
      </c>
      <c r="B873" s="1837"/>
      <c r="C873" s="1838"/>
      <c r="D873" s="829" t="s">
        <v>241</v>
      </c>
      <c r="E873" s="693"/>
      <c r="F873" s="104"/>
      <c r="G873" s="105"/>
      <c r="H873" s="106">
        <f>SUM(H874:H881)</f>
        <v>13.93</v>
      </c>
      <c r="I873" s="108">
        <f>SUM(I874:I881)</f>
        <v>7.655999999999999</v>
      </c>
      <c r="J873" s="108">
        <f>SUM(J874:J881)</f>
        <v>5.541999999999999</v>
      </c>
      <c r="K873" s="108">
        <f>SUM(K874:K881)</f>
        <v>16.285999999999998</v>
      </c>
      <c r="L873" s="108">
        <f>SUM(L874:L881)</f>
        <v>145.94</v>
      </c>
      <c r="M873" s="618"/>
      <c r="N873" s="1047"/>
    </row>
    <row r="874" spans="1:14" ht="12.75">
      <c r="A874" s="340" t="s">
        <v>245</v>
      </c>
      <c r="B874" s="493"/>
      <c r="C874" s="493"/>
      <c r="D874" s="515"/>
      <c r="E874" s="835">
        <v>0.027</v>
      </c>
      <c r="F874" s="85">
        <v>20</v>
      </c>
      <c r="G874" s="192">
        <v>240</v>
      </c>
      <c r="H874" s="193">
        <f>G874*E874</f>
        <v>6.4799999999999995</v>
      </c>
      <c r="I874" s="495">
        <f>(F874*18.2)/100</f>
        <v>3.64</v>
      </c>
      <c r="J874" s="495">
        <f>(F874*18.4)/100</f>
        <v>3.68</v>
      </c>
      <c r="K874" s="495"/>
      <c r="L874" s="496">
        <f>(F874*238)/100</f>
        <v>47.6</v>
      </c>
      <c r="M874" s="618"/>
      <c r="N874" s="221"/>
    </row>
    <row r="875" spans="1:14" ht="12.75">
      <c r="A875" s="318" t="s">
        <v>16</v>
      </c>
      <c r="B875" s="319"/>
      <c r="C875" s="319"/>
      <c r="D875" s="1115"/>
      <c r="E875" s="904">
        <v>0.002</v>
      </c>
      <c r="F875" s="905">
        <v>2</v>
      </c>
      <c r="G875" s="273">
        <v>300</v>
      </c>
      <c r="H875" s="324">
        <f>E875*G875</f>
        <v>0.6</v>
      </c>
      <c r="I875" s="518">
        <f>(F875*1)/100</f>
        <v>0.02</v>
      </c>
      <c r="J875" s="518">
        <f>(F875*72.5)/100</f>
        <v>1.45</v>
      </c>
      <c r="K875" s="518">
        <f>(F875*1.4)/100</f>
        <v>0.027999999999999997</v>
      </c>
      <c r="L875" s="519">
        <f>(F875*662)/100</f>
        <v>13.24</v>
      </c>
      <c r="M875" s="618"/>
      <c r="N875" s="221"/>
    </row>
    <row r="876" spans="1:14" ht="12.75">
      <c r="A876" s="1117" t="s">
        <v>183</v>
      </c>
      <c r="B876" s="1118"/>
      <c r="C876" s="1118"/>
      <c r="D876" s="260"/>
      <c r="E876" s="1119">
        <v>0.01</v>
      </c>
      <c r="F876" s="1120">
        <v>10</v>
      </c>
      <c r="G876" s="1265">
        <v>62.1</v>
      </c>
      <c r="H876" s="324">
        <f>E876*G876</f>
        <v>0.621</v>
      </c>
      <c r="I876" s="204">
        <f>(F876*23)/100</f>
        <v>2.3</v>
      </c>
      <c r="J876" s="204">
        <f>(F876*1.6)/100</f>
        <v>0.16</v>
      </c>
      <c r="K876" s="204">
        <f>(48.1*F876)/100</f>
        <v>4.81</v>
      </c>
      <c r="L876" s="274">
        <f>(299*F876)/100</f>
        <v>29.9</v>
      </c>
      <c r="M876" s="618"/>
      <c r="N876" s="837"/>
    </row>
    <row r="877" spans="1:14" ht="12.75">
      <c r="A877" s="1117" t="s">
        <v>48</v>
      </c>
      <c r="B877" s="1118"/>
      <c r="C877" s="1118"/>
      <c r="D877" s="260"/>
      <c r="E877" s="1119">
        <v>0.02</v>
      </c>
      <c r="F877" s="1120">
        <v>10</v>
      </c>
      <c r="G877" s="215">
        <v>64</v>
      </c>
      <c r="H877" s="215">
        <f>E877*G877</f>
        <v>1.28</v>
      </c>
      <c r="I877" s="455">
        <f>(F877*8)/100</f>
        <v>0.8</v>
      </c>
      <c r="J877" s="455">
        <f>(F877*1)/100</f>
        <v>0.1</v>
      </c>
      <c r="K877" s="455">
        <f>(F877*49.1)/100</f>
        <v>4.91</v>
      </c>
      <c r="L877" s="456">
        <f>(F877*238)/100</f>
        <v>23.8</v>
      </c>
      <c r="M877" s="618"/>
      <c r="N877" s="221"/>
    </row>
    <row r="878" spans="1:26" ht="23.25" customHeight="1">
      <c r="A878" s="318" t="s">
        <v>32</v>
      </c>
      <c r="B878" s="319"/>
      <c r="C878" s="907"/>
      <c r="D878" s="1121"/>
      <c r="E878" s="904">
        <v>0.055</v>
      </c>
      <c r="F878" s="905">
        <v>30</v>
      </c>
      <c r="G878" s="273">
        <v>56</v>
      </c>
      <c r="H878" s="324">
        <f>E878*G878</f>
        <v>3.08</v>
      </c>
      <c r="I878" s="204">
        <f>(F878*2)/100</f>
        <v>0.6</v>
      </c>
      <c r="J878" s="204">
        <f>(F878*0.4)/100</f>
        <v>0.12</v>
      </c>
      <c r="K878" s="204">
        <f>(F878*16.3)/100</f>
        <v>4.89</v>
      </c>
      <c r="L878" s="274">
        <f>(F878*77)/100</f>
        <v>23.1</v>
      </c>
      <c r="M878" s="618"/>
      <c r="N878" s="221"/>
      <c r="O878" s="1047"/>
      <c r="P878" s="1047"/>
      <c r="Q878" s="207"/>
      <c r="R878" s="208"/>
      <c r="S878" s="208"/>
      <c r="T878" s="209"/>
      <c r="U878" s="210"/>
      <c r="V878" s="207"/>
      <c r="W878" s="207"/>
      <c r="X878" s="207"/>
      <c r="Y878" s="207"/>
      <c r="Z878" s="207"/>
    </row>
    <row r="879" spans="1:26" ht="12.75">
      <c r="A879" s="248" t="s">
        <v>33</v>
      </c>
      <c r="B879" s="249"/>
      <c r="C879" s="1122"/>
      <c r="D879" s="260"/>
      <c r="E879" s="709">
        <v>0.013000000000000001</v>
      </c>
      <c r="F879" s="204">
        <v>10</v>
      </c>
      <c r="G879" s="507">
        <v>63</v>
      </c>
      <c r="H879" s="324">
        <f>E879*G879</f>
        <v>0.8190000000000001</v>
      </c>
      <c r="I879" s="204">
        <f>(F879*1.4)/100</f>
        <v>0.14</v>
      </c>
      <c r="J879" s="204">
        <f>(F879*0.2)/100</f>
        <v>0.02</v>
      </c>
      <c r="K879" s="204">
        <f>(F879*8.2)/100</f>
        <v>0.82</v>
      </c>
      <c r="L879" s="205">
        <f>(F879*41)/100</f>
        <v>4.1</v>
      </c>
      <c r="M879" s="618"/>
      <c r="N879" s="221"/>
      <c r="O879" s="57"/>
      <c r="P879" s="57"/>
      <c r="Q879" s="207"/>
      <c r="R879" s="222"/>
      <c r="S879" s="223"/>
      <c r="T879" s="209"/>
      <c r="U879" s="224"/>
      <c r="V879" s="152"/>
      <c r="W879" s="152"/>
      <c r="X879" s="152"/>
      <c r="Y879" s="152"/>
      <c r="Z879" s="152"/>
    </row>
    <row r="880" spans="1:26" ht="12.75">
      <c r="A880" s="248" t="s">
        <v>34</v>
      </c>
      <c r="B880" s="249"/>
      <c r="C880" s="1122"/>
      <c r="D880" s="260"/>
      <c r="E880" s="709">
        <v>0.015</v>
      </c>
      <c r="F880" s="204">
        <v>12</v>
      </c>
      <c r="G880" s="507">
        <v>70</v>
      </c>
      <c r="H880" s="324">
        <f>G880*E880</f>
        <v>1.05</v>
      </c>
      <c r="I880" s="204">
        <f>(F880*1.3)/100</f>
        <v>0.15600000000000003</v>
      </c>
      <c r="J880" s="204">
        <f>(F880*0.1)/100</f>
        <v>0.012000000000000002</v>
      </c>
      <c r="K880" s="204">
        <f>(F880*6.9)/100</f>
        <v>0.8280000000000001</v>
      </c>
      <c r="L880" s="274">
        <f>(F880*35)/100</f>
        <v>4.2</v>
      </c>
      <c r="M880" s="618"/>
      <c r="N880" s="221"/>
      <c r="O880" s="57"/>
      <c r="P880" s="57"/>
      <c r="Q880" s="207"/>
      <c r="R880" s="222"/>
      <c r="S880" s="223"/>
      <c r="T880" s="209"/>
      <c r="U880" s="224"/>
      <c r="V880" s="233"/>
      <c r="W880" s="233"/>
      <c r="X880" s="233"/>
      <c r="Y880" s="233"/>
      <c r="Z880" s="233"/>
    </row>
    <row r="881" spans="1:26" ht="13.5" thickBot="1">
      <c r="A881" s="225"/>
      <c r="B881" s="226"/>
      <c r="C881" s="226"/>
      <c r="D881" s="227"/>
      <c r="E881" s="228"/>
      <c r="F881" s="229"/>
      <c r="G881" s="230"/>
      <c r="H881" s="230"/>
      <c r="I881" s="231"/>
      <c r="J881" s="231"/>
      <c r="K881" s="231"/>
      <c r="L881" s="232"/>
      <c r="M881" s="618"/>
      <c r="N881" s="221"/>
      <c r="O881" s="837"/>
      <c r="P881" s="837"/>
      <c r="Q881" s="247"/>
      <c r="R881" s="838"/>
      <c r="S881" s="221"/>
      <c r="T881" s="224"/>
      <c r="U881" s="224"/>
      <c r="V881" s="237"/>
      <c r="W881" s="237"/>
      <c r="X881" s="237"/>
      <c r="Y881" s="237"/>
      <c r="Z881" s="237"/>
    </row>
    <row r="882" spans="1:26" ht="13.5" thickBot="1">
      <c r="A882" s="1815" t="s">
        <v>184</v>
      </c>
      <c r="B882" s="1866"/>
      <c r="C882" s="1866"/>
      <c r="D882" s="637">
        <v>70</v>
      </c>
      <c r="E882" s="282"/>
      <c r="F882" s="282"/>
      <c r="G882" s="283"/>
      <c r="H882" s="106">
        <f>H883+H885+H886+H887+H889+H884+H888</f>
        <v>31.012999999999998</v>
      </c>
      <c r="I882" s="285">
        <f>SUM(I883:I889)</f>
        <v>15.137</v>
      </c>
      <c r="J882" s="285">
        <f>SUM(J883:J889)</f>
        <v>5.6290000000000004</v>
      </c>
      <c r="K882" s="285">
        <f>SUM(K883:K889)</f>
        <v>41.228</v>
      </c>
      <c r="L882" s="285">
        <f>SUM(L883:L889)</f>
        <v>275.97</v>
      </c>
      <c r="M882" s="618"/>
      <c r="N882" s="221"/>
      <c r="O882" s="57"/>
      <c r="P882" s="57"/>
      <c r="Q882" s="207"/>
      <c r="R882" s="222"/>
      <c r="S882" s="223"/>
      <c r="T882" s="209"/>
      <c r="U882" s="224"/>
      <c r="V882" s="223"/>
      <c r="W882" s="223"/>
      <c r="X882" s="223"/>
      <c r="Y882" s="223"/>
      <c r="Z882" s="223"/>
    </row>
    <row r="883" spans="1:26" ht="12.75">
      <c r="A883" s="538" t="s">
        <v>107</v>
      </c>
      <c r="B883" s="907"/>
      <c r="C883" s="908"/>
      <c r="D883" s="251"/>
      <c r="E883" s="261">
        <v>0.08</v>
      </c>
      <c r="F883" s="262">
        <v>60</v>
      </c>
      <c r="G883" s="112">
        <v>300</v>
      </c>
      <c r="H883" s="112">
        <f>E883*G883</f>
        <v>24</v>
      </c>
      <c r="I883" s="111">
        <f>(F883*17.2)/100</f>
        <v>10.32</v>
      </c>
      <c r="J883" s="111">
        <f>(0.5*F883)/100</f>
        <v>0.3</v>
      </c>
      <c r="K883" s="111"/>
      <c r="L883" s="909">
        <f>(73*F883)/100</f>
        <v>43.8</v>
      </c>
      <c r="M883" s="618"/>
      <c r="O883" s="57"/>
      <c r="P883" s="57"/>
      <c r="Q883" s="207"/>
      <c r="R883" s="222"/>
      <c r="S883" s="223"/>
      <c r="T883" s="209"/>
      <c r="U883" s="224"/>
      <c r="V883" s="223"/>
      <c r="W883" s="223"/>
      <c r="X883" s="223"/>
      <c r="Y883" s="223"/>
      <c r="Z883" s="223"/>
    </row>
    <row r="884" spans="1:26" ht="12.75">
      <c r="A884" s="1070" t="s">
        <v>37</v>
      </c>
      <c r="B884" s="78"/>
      <c r="C884" s="78"/>
      <c r="D884" s="71"/>
      <c r="E884" s="77">
        <v>0.002</v>
      </c>
      <c r="F884" s="78">
        <v>2</v>
      </c>
      <c r="G884" s="79">
        <v>129</v>
      </c>
      <c r="H884" s="290">
        <f>G884*E884</f>
        <v>0.258</v>
      </c>
      <c r="I884" s="521"/>
      <c r="J884" s="455">
        <f>(F884*99.9)/100</f>
        <v>1.9980000000000002</v>
      </c>
      <c r="K884" s="80"/>
      <c r="L884" s="522">
        <f>(F884*899)/100</f>
        <v>17.98</v>
      </c>
      <c r="M884" s="618"/>
      <c r="O884" s="57"/>
      <c r="P884" s="57"/>
      <c r="Q884" s="207"/>
      <c r="R884" s="222"/>
      <c r="S884" s="223"/>
      <c r="T884" s="209"/>
      <c r="U884" s="224"/>
      <c r="V884" s="223"/>
      <c r="W884" s="223"/>
      <c r="X884" s="223"/>
      <c r="Y884" s="223"/>
      <c r="Z884" s="223"/>
    </row>
    <row r="885" spans="1:26" ht="12.75">
      <c r="A885" s="248" t="s">
        <v>16</v>
      </c>
      <c r="B885" s="250"/>
      <c r="C885" s="250"/>
      <c r="D885" s="708"/>
      <c r="E885" s="904">
        <v>0.003</v>
      </c>
      <c r="F885" s="905">
        <v>3</v>
      </c>
      <c r="G885" s="273">
        <v>300</v>
      </c>
      <c r="H885" s="255">
        <f>E885*G885</f>
        <v>0.9</v>
      </c>
      <c r="I885" s="45">
        <f>(F885*1)/100</f>
        <v>0.03</v>
      </c>
      <c r="J885" s="45">
        <f>(F885*72.5)/100</f>
        <v>2.175</v>
      </c>
      <c r="K885" s="45">
        <f>(F885*1.4)/100</f>
        <v>0.041999999999999996</v>
      </c>
      <c r="L885" s="46">
        <f>(F885*662)/100</f>
        <v>19.86</v>
      </c>
      <c r="M885" s="618"/>
      <c r="O885" s="221"/>
      <c r="P885" s="221"/>
      <c r="Q885" s="247"/>
      <c r="R885" s="222"/>
      <c r="S885" s="223"/>
      <c r="T885" s="209"/>
      <c r="U885" s="224"/>
      <c r="V885" s="223"/>
      <c r="W885" s="223"/>
      <c r="X885" s="223"/>
      <c r="Y885" s="223"/>
      <c r="Z885" s="223"/>
    </row>
    <row r="886" spans="1:26" ht="12.75">
      <c r="A886" s="47" t="s">
        <v>33</v>
      </c>
      <c r="B886" s="48"/>
      <c r="C886" s="48"/>
      <c r="D886" s="1272"/>
      <c r="E886" s="95">
        <v>0.01</v>
      </c>
      <c r="F886" s="54">
        <v>8</v>
      </c>
      <c r="G886" s="273">
        <v>63</v>
      </c>
      <c r="H886" s="255">
        <f>E886*G886</f>
        <v>0.63</v>
      </c>
      <c r="I886" s="204">
        <f>(F886*1.4)/100</f>
        <v>0.11199999999999999</v>
      </c>
      <c r="J886" s="204">
        <f>(F886*0.2)/100</f>
        <v>0.016</v>
      </c>
      <c r="K886" s="204">
        <f>(F886*8.2)/100</f>
        <v>0.6559999999999999</v>
      </c>
      <c r="L886" s="205">
        <f>(F886*41)/100</f>
        <v>3.28</v>
      </c>
      <c r="M886" s="618"/>
      <c r="O886" s="221"/>
      <c r="P886" s="221"/>
      <c r="Q886" s="247"/>
      <c r="R886" s="222"/>
      <c r="S886" s="223"/>
      <c r="T886" s="266"/>
      <c r="U886" s="267"/>
      <c r="V886" s="332"/>
      <c r="W886" s="332"/>
      <c r="X886" s="332"/>
      <c r="Y886" s="332"/>
      <c r="Z886" s="223"/>
    </row>
    <row r="887" spans="1:25" ht="12.75" customHeight="1">
      <c r="A887" s="248" t="s">
        <v>46</v>
      </c>
      <c r="B887" s="249"/>
      <c r="C887" s="249"/>
      <c r="D887" s="1273"/>
      <c r="E887" s="717">
        <v>0.006</v>
      </c>
      <c r="F887" s="941">
        <v>5</v>
      </c>
      <c r="G887" s="1274">
        <v>230</v>
      </c>
      <c r="H887" s="112">
        <f>E887*G887</f>
        <v>1.3800000000000001</v>
      </c>
      <c r="I887" s="258">
        <f>(12.7*F887)/100</f>
        <v>0.635</v>
      </c>
      <c r="J887" s="258">
        <f>(F887*11.5)/100</f>
        <v>0.575</v>
      </c>
      <c r="K887" s="258">
        <f>(F887*0.7)/100</f>
        <v>0.035</v>
      </c>
      <c r="L887" s="327">
        <f>(157*F887)/100</f>
        <v>7.85</v>
      </c>
      <c r="M887" s="618"/>
      <c r="O887" s="221"/>
      <c r="P887" s="221"/>
      <c r="Q887" s="247"/>
      <c r="R887" s="1052"/>
      <c r="S887" s="57"/>
      <c r="T887" s="209"/>
      <c r="U887" s="209"/>
      <c r="V887" s="207"/>
      <c r="W887" s="207"/>
      <c r="X887" s="207"/>
      <c r="Y887" s="207"/>
    </row>
    <row r="888" spans="1:13" ht="12.75">
      <c r="A888" s="248" t="s">
        <v>76</v>
      </c>
      <c r="B888" s="249"/>
      <c r="C888" s="249"/>
      <c r="D888" s="1273"/>
      <c r="E888" s="717">
        <v>0.005</v>
      </c>
      <c r="F888" s="941">
        <v>5</v>
      </c>
      <c r="G888" s="53">
        <v>49</v>
      </c>
      <c r="H888" s="145">
        <f>G888*E888</f>
        <v>0.245</v>
      </c>
      <c r="I888" s="455">
        <f>(F888*10.8)/100</f>
        <v>0.54</v>
      </c>
      <c r="J888" s="455">
        <f>(F888*1.3)/100</f>
        <v>0.065</v>
      </c>
      <c r="K888" s="455">
        <f>(F888*69.9)/100</f>
        <v>3.495</v>
      </c>
      <c r="L888" s="456">
        <f>(F888*334)/100</f>
        <v>16.7</v>
      </c>
      <c r="M888" s="618"/>
    </row>
    <row r="889" spans="1:13" ht="13.5" thickBot="1">
      <c r="A889" s="225" t="s">
        <v>18</v>
      </c>
      <c r="B889" s="1128"/>
      <c r="C889" s="1128"/>
      <c r="D889" s="1129"/>
      <c r="E889" s="476">
        <v>0.05</v>
      </c>
      <c r="F889" s="477">
        <v>50</v>
      </c>
      <c r="G889" s="478">
        <v>72</v>
      </c>
      <c r="H889" s="1139">
        <f>G889*E889</f>
        <v>3.6</v>
      </c>
      <c r="I889" s="1140">
        <f>(F889*7)/100</f>
        <v>3.5</v>
      </c>
      <c r="J889" s="1140">
        <f>(F889*1)/100</f>
        <v>0.5</v>
      </c>
      <c r="K889" s="1140">
        <f>(74*F889)/100</f>
        <v>37</v>
      </c>
      <c r="L889" s="1141">
        <f>(F889*333)/100</f>
        <v>166.5</v>
      </c>
      <c r="M889" s="618"/>
    </row>
    <row r="890" spans="1:13" ht="13.5" thickBot="1">
      <c r="A890" s="309" t="s">
        <v>109</v>
      </c>
      <c r="B890" s="310"/>
      <c r="C890" s="310"/>
      <c r="D890" s="311">
        <v>100</v>
      </c>
      <c r="E890" s="312"/>
      <c r="F890" s="282"/>
      <c r="G890" s="283"/>
      <c r="H890" s="284">
        <f>SUM(H891:H893)</f>
        <v>10.2</v>
      </c>
      <c r="I890" s="285">
        <f>I891+I892+I893</f>
        <v>2.22</v>
      </c>
      <c r="J890" s="285">
        <f>J891+J892+J893</f>
        <v>3.7199999999999998</v>
      </c>
      <c r="K890" s="285">
        <f>K891+K892+K893</f>
        <v>14.056</v>
      </c>
      <c r="L890" s="285">
        <f>L891+L892+L893</f>
        <v>100.08</v>
      </c>
      <c r="M890" s="618"/>
    </row>
    <row r="891" spans="1:13" ht="12.75">
      <c r="A891" s="429" t="s">
        <v>32</v>
      </c>
      <c r="B891" s="430"/>
      <c r="C891" s="430"/>
      <c r="D891" s="751"/>
      <c r="E891" s="752">
        <v>0.135</v>
      </c>
      <c r="F891" s="753">
        <v>80</v>
      </c>
      <c r="G891" s="192">
        <v>56</v>
      </c>
      <c r="H891" s="192">
        <f>E891*G891</f>
        <v>7.5600000000000005</v>
      </c>
      <c r="I891" s="204">
        <f>(F891*2)/100</f>
        <v>1.6</v>
      </c>
      <c r="J891" s="204">
        <f>(F891*0.4)/100</f>
        <v>0.32</v>
      </c>
      <c r="K891" s="204">
        <f>(F891*16.3)/100</f>
        <v>13.04</v>
      </c>
      <c r="L891" s="205">
        <f>(F891*77)/100</f>
        <v>61.6</v>
      </c>
      <c r="M891" s="618"/>
    </row>
    <row r="892" spans="1:13" ht="12.75">
      <c r="A892" s="429" t="s">
        <v>18</v>
      </c>
      <c r="B892" s="430"/>
      <c r="C892" s="430"/>
      <c r="D892" s="751"/>
      <c r="E892" s="754">
        <v>0.02</v>
      </c>
      <c r="F892" s="755">
        <v>20</v>
      </c>
      <c r="G892" s="756">
        <v>72</v>
      </c>
      <c r="H892" s="756">
        <f>G892*E892</f>
        <v>1.44</v>
      </c>
      <c r="I892" s="63">
        <f>(2.9*F892)/100</f>
        <v>0.58</v>
      </c>
      <c r="J892" s="63">
        <f>(F892*2.5)/100</f>
        <v>0.5</v>
      </c>
      <c r="K892" s="63">
        <f>(4.8*F892)/100</f>
        <v>0.96</v>
      </c>
      <c r="L892" s="64">
        <f>(F892*60)/100</f>
        <v>12</v>
      </c>
      <c r="M892" s="618"/>
    </row>
    <row r="893" spans="1:13" ht="13.5" thickBot="1">
      <c r="A893" s="429" t="s">
        <v>16</v>
      </c>
      <c r="B893" s="430"/>
      <c r="C893" s="430"/>
      <c r="D893" s="751"/>
      <c r="E893" s="544">
        <v>0.004</v>
      </c>
      <c r="F893" s="545">
        <v>4</v>
      </c>
      <c r="G893" s="546">
        <v>300</v>
      </c>
      <c r="H893" s="756">
        <f>G893*E893</f>
        <v>1.2</v>
      </c>
      <c r="I893" s="45">
        <f>(F893*1)/100</f>
        <v>0.04</v>
      </c>
      <c r="J893" s="45">
        <f>(F893*72.5)/100</f>
        <v>2.9</v>
      </c>
      <c r="K893" s="45">
        <f>(F893*1.4)/100</f>
        <v>0.055999999999999994</v>
      </c>
      <c r="L893" s="46">
        <f>(F893*662)/100</f>
        <v>26.48</v>
      </c>
      <c r="M893" s="618"/>
    </row>
    <row r="894" spans="1:13" ht="13.5" thickBot="1">
      <c r="A894" s="309"/>
      <c r="B894" s="310"/>
      <c r="C894" s="310"/>
      <c r="D894" s="311"/>
      <c r="E894" s="1068"/>
      <c r="F894" s="1069"/>
      <c r="G894" s="283"/>
      <c r="H894" s="1275"/>
      <c r="I894" s="1459"/>
      <c r="J894" s="1459"/>
      <c r="K894" s="1459"/>
      <c r="L894" s="1460"/>
      <c r="M894" s="618"/>
    </row>
    <row r="895" spans="1:13" ht="13.5" thickBot="1">
      <c r="A895" s="429"/>
      <c r="B895" s="430"/>
      <c r="C895" s="430"/>
      <c r="D895" s="751"/>
      <c r="E895" s="544"/>
      <c r="F895" s="545"/>
      <c r="G895" s="546"/>
      <c r="H895" s="756"/>
      <c r="I895" s="45"/>
      <c r="J895" s="45"/>
      <c r="K895" s="45"/>
      <c r="L895" s="46"/>
      <c r="M895" s="618"/>
    </row>
    <row r="896" spans="1:13" ht="13.5" thickBot="1">
      <c r="A896" s="1776" t="s">
        <v>257</v>
      </c>
      <c r="B896" s="1828"/>
      <c r="C896" s="1828"/>
      <c r="D896" s="103">
        <v>150</v>
      </c>
      <c r="E896" s="331"/>
      <c r="F896" s="331"/>
      <c r="G896" s="105"/>
      <c r="H896" s="106">
        <f>H897+H898</f>
        <v>3.87</v>
      </c>
      <c r="I896" s="108">
        <f>I897+I898</f>
        <v>0.075</v>
      </c>
      <c r="J896" s="108">
        <f>J897+J898</f>
        <v>0.03</v>
      </c>
      <c r="K896" s="108">
        <f>K897+K898</f>
        <v>13.528999999999998</v>
      </c>
      <c r="L896" s="108">
        <f>L897+L898</f>
        <v>56.07</v>
      </c>
      <c r="M896" s="57"/>
    </row>
    <row r="897" spans="1:13" ht="15">
      <c r="A897" s="538" t="s">
        <v>82</v>
      </c>
      <c r="B897" s="539"/>
      <c r="C897" s="540"/>
      <c r="D897" s="541"/>
      <c r="E897" s="261">
        <v>0.015</v>
      </c>
      <c r="F897" s="262">
        <v>15</v>
      </c>
      <c r="G897" s="112">
        <v>180</v>
      </c>
      <c r="H897" s="113">
        <f>E897*G897</f>
        <v>2.6999999999999997</v>
      </c>
      <c r="I897" s="111">
        <f>(F897*0.5)/100</f>
        <v>0.075</v>
      </c>
      <c r="J897" s="111">
        <f>(0.2*F897)/100</f>
        <v>0.03</v>
      </c>
      <c r="K897" s="111">
        <f>(3.7*F897)/100</f>
        <v>0.555</v>
      </c>
      <c r="L897" s="263">
        <f>(28*F897)/100</f>
        <v>4.2</v>
      </c>
      <c r="M897" s="1261"/>
    </row>
    <row r="898" spans="1:13" ht="15.75" thickBot="1">
      <c r="A898" s="248" t="s">
        <v>17</v>
      </c>
      <c r="B898" s="250"/>
      <c r="C898" s="1053"/>
      <c r="D898" s="1054"/>
      <c r="E898" s="252">
        <v>0.013000000000000001</v>
      </c>
      <c r="F898" s="253">
        <v>13</v>
      </c>
      <c r="G898" s="254">
        <v>90</v>
      </c>
      <c r="H898" s="255">
        <f>E898*G898</f>
        <v>1.1700000000000002</v>
      </c>
      <c r="I898" s="54"/>
      <c r="J898" s="54"/>
      <c r="K898" s="54">
        <f>(F898*99.8)/100</f>
        <v>12.973999999999998</v>
      </c>
      <c r="L898" s="55">
        <f>(F898*399)/100</f>
        <v>51.87</v>
      </c>
      <c r="M898" s="1261"/>
    </row>
    <row r="899" spans="1:13" ht="15.75" thickBot="1">
      <c r="A899" s="1780" t="s">
        <v>41</v>
      </c>
      <c r="B899" s="1860"/>
      <c r="C899" s="1868"/>
      <c r="D899" s="927">
        <v>30</v>
      </c>
      <c r="E899" s="66">
        <v>0.03</v>
      </c>
      <c r="F899" s="21">
        <v>30</v>
      </c>
      <c r="G899" s="22">
        <v>35</v>
      </c>
      <c r="H899" s="23">
        <f>E899*G899</f>
        <v>1.05</v>
      </c>
      <c r="I899" s="294">
        <f>(6.6*F899)/100</f>
        <v>1.98</v>
      </c>
      <c r="J899" s="294">
        <f>(1.2*F899)/100</f>
        <v>0.36</v>
      </c>
      <c r="K899" s="294">
        <f>(33.4*F899)/100</f>
        <v>10.02</v>
      </c>
      <c r="L899" s="67">
        <f>(174*F899)/100</f>
        <v>52.2</v>
      </c>
      <c r="M899" s="1261"/>
    </row>
    <row r="900" spans="1:13" ht="13.5" thickBot="1">
      <c r="A900" s="1276"/>
      <c r="B900" s="1277"/>
      <c r="C900" s="1277"/>
      <c r="D900" s="853"/>
      <c r="E900" s="66"/>
      <c r="F900" s="21"/>
      <c r="G900" s="22"/>
      <c r="H900" s="23"/>
      <c r="I900" s="294"/>
      <c r="J900" s="294"/>
      <c r="K900" s="294"/>
      <c r="L900" s="67"/>
      <c r="M900" s="618"/>
    </row>
    <row r="901" spans="1:13" ht="12.75" customHeight="1">
      <c r="A901" s="56"/>
      <c r="B901" s="221"/>
      <c r="C901" s="221"/>
      <c r="D901" s="221"/>
      <c r="E901" s="57"/>
      <c r="F901" s="57"/>
      <c r="G901" s="209"/>
      <c r="H901" s="209"/>
      <c r="I901" s="223"/>
      <c r="J901" s="223"/>
      <c r="K901" s="223"/>
      <c r="L901" s="732"/>
      <c r="M901" s="618"/>
    </row>
    <row r="902" spans="1:13" ht="16.5" thickBot="1">
      <c r="A902" s="1281"/>
      <c r="B902" s="1282"/>
      <c r="C902" s="1283" t="s">
        <v>43</v>
      </c>
      <c r="D902" s="1283"/>
      <c r="E902" s="1283"/>
      <c r="F902" s="1283"/>
      <c r="G902" s="1284"/>
      <c r="H902" s="1284">
        <f>H899+H896+H894+H890+H882+H873</f>
        <v>60.062999999999995</v>
      </c>
      <c r="I902" s="1285"/>
      <c r="J902" s="1286"/>
      <c r="K902" s="1286"/>
      <c r="L902" s="1287"/>
      <c r="M902" s="618"/>
    </row>
    <row r="903" spans="1:13" ht="13.5" thickBot="1">
      <c r="A903" s="855"/>
      <c r="B903" s="740" t="s">
        <v>24</v>
      </c>
      <c r="C903" s="740"/>
      <c r="D903" s="740"/>
      <c r="E903" s="740"/>
      <c r="F903" s="740"/>
      <c r="G903" s="742"/>
      <c r="H903" s="742"/>
      <c r="I903" s="930">
        <f>I899+I896+I894+I890+I882+I873</f>
        <v>27.067999999999998</v>
      </c>
      <c r="J903" s="930">
        <f>J899+J896+J894+J890+J882+J873</f>
        <v>15.280999999999999</v>
      </c>
      <c r="K903" s="930">
        <f>K899+K896+K894+K890+K882+K873</f>
        <v>95.119</v>
      </c>
      <c r="L903" s="930">
        <f>L899+L896+L894+L890+L882+L873</f>
        <v>630.26</v>
      </c>
      <c r="M903" s="618"/>
    </row>
    <row r="904" spans="1:13" ht="13.5" thickBot="1">
      <c r="A904" s="211" t="s">
        <v>44</v>
      </c>
      <c r="B904" s="633" t="s">
        <v>105</v>
      </c>
      <c r="C904" s="57"/>
      <c r="D904" s="57"/>
      <c r="E904" s="57"/>
      <c r="F904" s="57"/>
      <c r="G904" s="57"/>
      <c r="H904" s="57"/>
      <c r="I904" s="211"/>
      <c r="J904" s="211"/>
      <c r="K904" s="209"/>
      <c r="L904" s="1059">
        <f>L903/1400</f>
        <v>0.4501857142857143</v>
      </c>
      <c r="M904" s="618"/>
    </row>
    <row r="905" spans="1:14" ht="13.5" thickBot="1">
      <c r="A905" s="1773" t="s">
        <v>185</v>
      </c>
      <c r="B905" s="1848"/>
      <c r="C905" s="1848"/>
      <c r="D905" s="20">
        <v>90</v>
      </c>
      <c r="E905" s="21"/>
      <c r="F905" s="21"/>
      <c r="G905" s="22"/>
      <c r="H905" s="23">
        <f>H906+H907+H908+H909+H910+H911+H912</f>
        <v>9.149000000000001</v>
      </c>
      <c r="I905" s="67">
        <f>I906+I907+I908+I909+I910+I911</f>
        <v>6.113</v>
      </c>
      <c r="J905" s="67">
        <f>J906+J907+J908+J909+J910+J911</f>
        <v>5.271</v>
      </c>
      <c r="K905" s="67">
        <f>K906+K907+K908+K909+K910+K911</f>
        <v>46.076</v>
      </c>
      <c r="L905" s="67">
        <f>L906+L907+L908+L909+L910+L911</f>
        <v>290.83000000000004</v>
      </c>
      <c r="M905" s="618"/>
      <c r="N905" s="206"/>
    </row>
    <row r="906" spans="1:14" ht="12.75">
      <c r="A906" s="933" t="s">
        <v>37</v>
      </c>
      <c r="B906" s="934"/>
      <c r="C906" s="935"/>
      <c r="D906" s="453"/>
      <c r="E906" s="936">
        <v>0.003</v>
      </c>
      <c r="F906" s="937">
        <v>3</v>
      </c>
      <c r="G906" s="938">
        <v>129</v>
      </c>
      <c r="H906" s="939">
        <f>G906*E906</f>
        <v>0.387</v>
      </c>
      <c r="I906" s="521"/>
      <c r="J906" s="455">
        <f>(F906*99.9)/100</f>
        <v>2.9970000000000003</v>
      </c>
      <c r="K906" s="80"/>
      <c r="L906" s="522">
        <f>(F906*899)/100</f>
        <v>26.97</v>
      </c>
      <c r="M906" s="618"/>
      <c r="N906" s="221"/>
    </row>
    <row r="907" spans="1:14" ht="12.75">
      <c r="A907" s="68" t="s">
        <v>16</v>
      </c>
      <c r="B907" s="70"/>
      <c r="C907" s="70"/>
      <c r="D907" s="71"/>
      <c r="E907" s="448">
        <v>0.005</v>
      </c>
      <c r="F907" s="449">
        <v>5</v>
      </c>
      <c r="G907" s="447">
        <v>300</v>
      </c>
      <c r="H907" s="201">
        <f>G907*E907</f>
        <v>1.5</v>
      </c>
      <c r="I907" s="518">
        <v>0</v>
      </c>
      <c r="J907" s="518">
        <f>(F907*8.2)/100</f>
        <v>0.41</v>
      </c>
      <c r="K907" s="518">
        <f>(F907*0.8)/100</f>
        <v>0.04</v>
      </c>
      <c r="L907" s="519">
        <f>(F907*748)/100</f>
        <v>37.4</v>
      </c>
      <c r="M907" s="618"/>
      <c r="N907" s="221"/>
    </row>
    <row r="908" spans="1:14" ht="12.75">
      <c r="A908" s="589" t="s">
        <v>18</v>
      </c>
      <c r="B908" s="590"/>
      <c r="C908" s="590"/>
      <c r="D908" s="720"/>
      <c r="E908" s="51">
        <v>0.02</v>
      </c>
      <c r="F908" s="52">
        <v>20</v>
      </c>
      <c r="G908" s="53">
        <v>72</v>
      </c>
      <c r="H908" s="145">
        <f>G908*E908</f>
        <v>1.44</v>
      </c>
      <c r="I908" s="916">
        <f>(2.9*F908)/100</f>
        <v>0.58</v>
      </c>
      <c r="J908" s="916">
        <f>(F908*2.5)/100</f>
        <v>0.5</v>
      </c>
      <c r="K908" s="916">
        <f>(4.8*F908)/100</f>
        <v>0.96</v>
      </c>
      <c r="L908" s="917">
        <f>(F908*60)/100</f>
        <v>12</v>
      </c>
      <c r="M908" s="618"/>
      <c r="N908" s="221"/>
    </row>
    <row r="909" spans="1:14" ht="12.75">
      <c r="A909" s="589" t="s">
        <v>76</v>
      </c>
      <c r="B909" s="591"/>
      <c r="C909" s="940"/>
      <c r="D909" s="50"/>
      <c r="E909" s="51">
        <v>0.043000000000000003</v>
      </c>
      <c r="F909" s="52">
        <v>43</v>
      </c>
      <c r="G909" s="53">
        <v>49</v>
      </c>
      <c r="H909" s="145">
        <f>G909*E909</f>
        <v>2.107</v>
      </c>
      <c r="I909" s="455">
        <f>(F909*10.8)/100</f>
        <v>4.644</v>
      </c>
      <c r="J909" s="455">
        <f>(F909*1.3)/100</f>
        <v>0.5589999999999999</v>
      </c>
      <c r="K909" s="455">
        <f>(F909*69.9)/100</f>
        <v>30.057000000000002</v>
      </c>
      <c r="L909" s="456">
        <f>(F909*334)/100</f>
        <v>143.62</v>
      </c>
      <c r="M909" s="618"/>
      <c r="N909" s="221"/>
    </row>
    <row r="910" spans="1:14" ht="12.75">
      <c r="A910" s="589" t="s">
        <v>46</v>
      </c>
      <c r="B910" s="591"/>
      <c r="C910" s="940"/>
      <c r="D910" s="50"/>
      <c r="E910" s="717">
        <v>0.008</v>
      </c>
      <c r="F910" s="941">
        <v>7</v>
      </c>
      <c r="G910" s="342">
        <v>230</v>
      </c>
      <c r="H910" s="112">
        <f>E910*G910</f>
        <v>1.84</v>
      </c>
      <c r="I910" s="258">
        <f>(12.7*F910)/100</f>
        <v>0.8889999999999999</v>
      </c>
      <c r="J910" s="258">
        <f>(F910*11.5)/100</f>
        <v>0.805</v>
      </c>
      <c r="K910" s="258">
        <f>(F910*0.7)/100</f>
        <v>0.049</v>
      </c>
      <c r="L910" s="327">
        <f>(157*F910)/100</f>
        <v>10.99</v>
      </c>
      <c r="M910" s="1263"/>
      <c r="N910" s="221"/>
    </row>
    <row r="911" spans="1:14" ht="12.75">
      <c r="A911" s="68" t="s">
        <v>17</v>
      </c>
      <c r="B911" s="70"/>
      <c r="C911" s="70"/>
      <c r="D911" s="71"/>
      <c r="E911" s="448">
        <v>0.015</v>
      </c>
      <c r="F911" s="449">
        <v>15</v>
      </c>
      <c r="G911" s="447">
        <v>90</v>
      </c>
      <c r="H911" s="290">
        <f>G911*E911</f>
        <v>1.3499999999999999</v>
      </c>
      <c r="I911" s="80"/>
      <c r="J911" s="80"/>
      <c r="K911" s="80">
        <f>(F911*99.8)/100</f>
        <v>14.97</v>
      </c>
      <c r="L911" s="81">
        <f>(F911*399)/100</f>
        <v>59.85</v>
      </c>
      <c r="M911" s="1263"/>
      <c r="N911" s="221"/>
    </row>
    <row r="912" spans="1:14" ht="13.5" thickBot="1">
      <c r="A912" s="354" t="s">
        <v>134</v>
      </c>
      <c r="B912" s="1155"/>
      <c r="C912" s="1155"/>
      <c r="D912" s="1288"/>
      <c r="E912" s="1289">
        <v>0.0005</v>
      </c>
      <c r="F912" s="83">
        <v>0.5</v>
      </c>
      <c r="G912" s="84">
        <v>1050</v>
      </c>
      <c r="H912" s="1290">
        <f>G912*E912</f>
        <v>0.525</v>
      </c>
      <c r="I912" s="358"/>
      <c r="J912" s="358"/>
      <c r="K912" s="358"/>
      <c r="L912" s="359"/>
      <c r="M912" s="1263"/>
      <c r="N912" s="221"/>
    </row>
    <row r="913" spans="1:14" ht="13.5" thickBot="1">
      <c r="A913" s="1780" t="s">
        <v>49</v>
      </c>
      <c r="B913" s="1860"/>
      <c r="C913" s="1860"/>
      <c r="D913" s="637">
        <v>150</v>
      </c>
      <c r="E913" s="282"/>
      <c r="F913" s="282"/>
      <c r="G913" s="283"/>
      <c r="H913" s="284">
        <f>H914+H915</f>
        <v>1.214</v>
      </c>
      <c r="I913" s="285">
        <f>SUM(I914:I915)</f>
        <v>0</v>
      </c>
      <c r="J913" s="285">
        <f>SUM(J914:J915)</f>
        <v>0</v>
      </c>
      <c r="K913" s="285">
        <f>SUM(K914:K915)</f>
        <v>10.978</v>
      </c>
      <c r="L913" s="285">
        <f>SUM(L914:L915)</f>
        <v>43.89</v>
      </c>
      <c r="M913" s="1263"/>
      <c r="N913" s="221"/>
    </row>
    <row r="914" spans="1:14" ht="12.75">
      <c r="A914" s="56" t="s">
        <v>20</v>
      </c>
      <c r="B914" s="221"/>
      <c r="C914" s="57"/>
      <c r="D914" s="638"/>
      <c r="E914" s="639">
        <v>0.0005</v>
      </c>
      <c r="F914" s="60">
        <v>0.5</v>
      </c>
      <c r="G914" s="61">
        <v>448</v>
      </c>
      <c r="H914" s="192">
        <f>E914*G914</f>
        <v>0.224</v>
      </c>
      <c r="I914" s="191"/>
      <c r="J914" s="191"/>
      <c r="K914" s="191"/>
      <c r="L914" s="1243"/>
      <c r="M914" s="1263"/>
      <c r="N914" s="221"/>
    </row>
    <row r="915" spans="1:14" ht="13.5" thickBot="1">
      <c r="A915" s="429" t="s">
        <v>17</v>
      </c>
      <c r="B915" s="430"/>
      <c r="C915" s="431"/>
      <c r="D915" s="432"/>
      <c r="E915" s="562">
        <v>0.011</v>
      </c>
      <c r="F915" s="434">
        <v>11</v>
      </c>
      <c r="G915" s="32">
        <v>90</v>
      </c>
      <c r="H915" s="535">
        <f>E915*G915</f>
        <v>0.99</v>
      </c>
      <c r="I915" s="80"/>
      <c r="J915" s="80"/>
      <c r="K915" s="80">
        <f>(F915*99.8)/100</f>
        <v>10.978</v>
      </c>
      <c r="L915" s="81">
        <f>(F915*399)/100</f>
        <v>43.89</v>
      </c>
      <c r="M915" s="1263"/>
      <c r="N915" s="221"/>
    </row>
    <row r="916" spans="1:14" ht="13.5" thickBot="1">
      <c r="A916" s="1695" t="s">
        <v>133</v>
      </c>
      <c r="B916" s="1696"/>
      <c r="C916" s="1697"/>
      <c r="D916" s="1698">
        <v>100</v>
      </c>
      <c r="E916" s="1699">
        <v>0.11</v>
      </c>
      <c r="F916" s="1700">
        <v>100</v>
      </c>
      <c r="G916" s="1701">
        <v>110</v>
      </c>
      <c r="H916" s="1702">
        <f>G916*E916</f>
        <v>12.1</v>
      </c>
      <c r="I916" s="1703">
        <v>0.36</v>
      </c>
      <c r="J916" s="1704">
        <v>0.036000000000000004</v>
      </c>
      <c r="K916" s="1705">
        <v>8.82</v>
      </c>
      <c r="L916" s="1706">
        <v>42.3</v>
      </c>
      <c r="M916" s="1291"/>
      <c r="N916" s="57"/>
    </row>
    <row r="917" spans="1:14" ht="15.75">
      <c r="A917" s="1292"/>
      <c r="B917" s="1293"/>
      <c r="C917" s="1074" t="s">
        <v>50</v>
      </c>
      <c r="D917" s="1074"/>
      <c r="E917" s="1294"/>
      <c r="F917" s="1294"/>
      <c r="G917" s="1295"/>
      <c r="H917" s="1296">
        <f>H916+H913+H905</f>
        <v>22.463</v>
      </c>
      <c r="I917" s="1294"/>
      <c r="J917" s="1297"/>
      <c r="K917" s="1294"/>
      <c r="L917" s="1298"/>
      <c r="M917" s="1291"/>
      <c r="N917" s="57"/>
    </row>
    <row r="918" spans="1:14" ht="13.5" thickBot="1">
      <c r="A918" s="1075"/>
      <c r="B918" s="1076"/>
      <c r="C918" s="1076" t="s">
        <v>24</v>
      </c>
      <c r="D918" s="1076"/>
      <c r="E918" s="1076"/>
      <c r="F918" s="1076"/>
      <c r="G918" s="1078"/>
      <c r="H918" s="1078"/>
      <c r="I918" s="1299">
        <f>I916+I913+I905</f>
        <v>6.473000000000001</v>
      </c>
      <c r="J918" s="1299">
        <f>J916+J913+J905</f>
        <v>5.3069999999999995</v>
      </c>
      <c r="K918" s="1299">
        <f>K916+K913+K905</f>
        <v>65.874</v>
      </c>
      <c r="L918" s="1299">
        <f>L916+L913+L905</f>
        <v>377.02000000000004</v>
      </c>
      <c r="M918" s="798"/>
      <c r="N918" s="206"/>
    </row>
    <row r="919" spans="1:14" ht="13.5" thickBot="1">
      <c r="A919" s="1781"/>
      <c r="B919" s="1825"/>
      <c r="C919" s="1867"/>
      <c r="D919" s="1301"/>
      <c r="E919" s="651"/>
      <c r="F919" s="652"/>
      <c r="G919" s="653"/>
      <c r="H919" s="348"/>
      <c r="I919" s="349"/>
      <c r="J919" s="349"/>
      <c r="K919" s="349"/>
      <c r="L919" s="1302">
        <f>L918/1400</f>
        <v>0.26930000000000004</v>
      </c>
      <c r="M919" s="798"/>
      <c r="N919" s="206"/>
    </row>
    <row r="920" spans="1:13" ht="15">
      <c r="A920" s="779" t="s">
        <v>51</v>
      </c>
      <c r="B920" s="780"/>
      <c r="C920" s="780"/>
      <c r="D920" s="780"/>
      <c r="E920" s="781">
        <v>0.01</v>
      </c>
      <c r="F920" s="430" t="s">
        <v>52</v>
      </c>
      <c r="G920" s="782">
        <v>20</v>
      </c>
      <c r="H920" s="630">
        <f>E920*G920</f>
        <v>0.2</v>
      </c>
      <c r="I920" s="872"/>
      <c r="J920" s="872"/>
      <c r="K920" s="872"/>
      <c r="L920" s="873"/>
      <c r="M920" s="1261"/>
    </row>
    <row r="921" spans="1:13" ht="15.75">
      <c r="A921" s="785"/>
      <c r="B921" s="786"/>
      <c r="C921" s="787" t="s">
        <v>53</v>
      </c>
      <c r="D921" s="787"/>
      <c r="E921" s="786"/>
      <c r="F921" s="787"/>
      <c r="G921" s="789"/>
      <c r="H921" s="1461">
        <f>H920+H917+H902+H870+H862</f>
        <v>117.721</v>
      </c>
      <c r="I921" s="1462"/>
      <c r="J921" s="876"/>
      <c r="K921" s="876"/>
      <c r="L921" s="954"/>
      <c r="M921" s="618"/>
    </row>
    <row r="922" spans="1:13" ht="12.75">
      <c r="A922" s="779"/>
      <c r="B922" s="430"/>
      <c r="C922" s="780"/>
      <c r="D922" s="780"/>
      <c r="E922" s="793"/>
      <c r="F922" s="430" t="s">
        <v>24</v>
      </c>
      <c r="G922" s="782"/>
      <c r="H922" s="782"/>
      <c r="I922" s="872"/>
      <c r="J922" s="872"/>
      <c r="K922" s="872"/>
      <c r="L922" s="878"/>
      <c r="M922" s="618"/>
    </row>
    <row r="923" spans="1:13" ht="12.75">
      <c r="A923" s="1303" t="s">
        <v>54</v>
      </c>
      <c r="B923" s="1304"/>
      <c r="C923" s="1305"/>
      <c r="D923" s="1305"/>
      <c r="E923" s="1305"/>
      <c r="F923" s="1305"/>
      <c r="G923" s="1306"/>
      <c r="H923" s="1306"/>
      <c r="I923" s="1307">
        <f>I918+I903+I866+I863</f>
        <v>45.650999999999996</v>
      </c>
      <c r="J923" s="1307">
        <f>J918+J903+J866+J863</f>
        <v>31.687999999999995</v>
      </c>
      <c r="K923" s="1307">
        <f>K918+K903+K866+K863</f>
        <v>217.861</v>
      </c>
      <c r="L923" s="1307">
        <f>L918+L903+L866+L863</f>
        <v>1407.07</v>
      </c>
      <c r="M923" s="618"/>
    </row>
    <row r="924" spans="1:13" ht="12.75">
      <c r="A924" s="634"/>
      <c r="B924" s="956"/>
      <c r="C924" s="634"/>
      <c r="D924" s="634"/>
      <c r="E924" s="634"/>
      <c r="F924" s="634"/>
      <c r="G924" s="210"/>
      <c r="H924" s="210"/>
      <c r="I924" s="211"/>
      <c r="J924" s="211"/>
      <c r="K924" s="211"/>
      <c r="L924" s="672">
        <f>L923/1400</f>
        <v>1.00505</v>
      </c>
      <c r="M924" s="618"/>
    </row>
    <row r="925" spans="1:13" ht="12.75">
      <c r="A925" s="634"/>
      <c r="B925" s="956"/>
      <c r="C925" s="634"/>
      <c r="D925" s="634"/>
      <c r="E925" s="634"/>
      <c r="F925" s="1308" t="s">
        <v>186</v>
      </c>
      <c r="G925" s="210"/>
      <c r="H925" s="210">
        <f>H921+H828+H746+H655+H548</f>
        <v>583.672</v>
      </c>
      <c r="I925" s="210">
        <f>I923+I827+I741+I657+I551</f>
        <v>171.10899999999998</v>
      </c>
      <c r="J925" s="210">
        <f>J923+J827+J741+J657+J551</f>
        <v>151.644</v>
      </c>
      <c r="K925" s="211">
        <f>K923+K827+K741+K657+K551</f>
        <v>592.607</v>
      </c>
      <c r="L925" s="211">
        <f>L923++L827+L741+L657+L551</f>
        <v>4577.5599999999995</v>
      </c>
      <c r="M925" s="618"/>
    </row>
    <row r="926" spans="1:13" ht="12.75">
      <c r="A926" s="634"/>
      <c r="B926" s="956"/>
      <c r="C926" s="634"/>
      <c r="D926" s="634"/>
      <c r="E926" s="634"/>
      <c r="F926" s="634"/>
      <c r="G926" s="210"/>
      <c r="H926" s="210">
        <f>H925/5</f>
        <v>116.73440000000001</v>
      </c>
      <c r="I926" s="210"/>
      <c r="J926" s="210"/>
      <c r="K926" s="211"/>
      <c r="L926" s="211"/>
      <c r="M926" s="618"/>
    </row>
    <row r="927" spans="1:13" ht="16.5" thickBot="1">
      <c r="A927" s="634"/>
      <c r="B927" s="956"/>
      <c r="C927" s="634"/>
      <c r="D927" s="634"/>
      <c r="E927" s="634"/>
      <c r="F927" s="798" t="s">
        <v>187</v>
      </c>
      <c r="G927" s="1309"/>
      <c r="H927" s="1309"/>
      <c r="I927" s="1310">
        <f>I925+I465</f>
        <v>403.181</v>
      </c>
      <c r="J927" s="1310">
        <f>J925+J465</f>
        <v>375.83799999999997</v>
      </c>
      <c r="K927" s="798">
        <f>K925+K465</f>
        <v>1401.1165</v>
      </c>
      <c r="L927" s="1310">
        <f>L925+L465</f>
        <v>10916.256000000001</v>
      </c>
      <c r="M927" s="618"/>
    </row>
    <row r="928" spans="1:13" ht="15.75">
      <c r="A928" s="1311" t="s">
        <v>188</v>
      </c>
      <c r="B928" s="1312"/>
      <c r="C928" s="1312"/>
      <c r="D928" s="1312"/>
      <c r="E928" s="1312"/>
      <c r="F928" s="1312"/>
      <c r="G928" s="1312"/>
      <c r="H928" s="1313">
        <f>H921+H828+H746+H655+H548+H461+H367+H274+H181+H71</f>
        <v>1167.805</v>
      </c>
      <c r="I928" s="1309"/>
      <c r="J928" s="1309"/>
      <c r="K928" s="1309"/>
      <c r="L928" s="1309"/>
      <c r="M928" s="1309"/>
    </row>
    <row r="929" spans="1:13" ht="15.75">
      <c r="A929" s="1314"/>
      <c r="B929" s="1315"/>
      <c r="C929" s="1315"/>
      <c r="D929" s="1315"/>
      <c r="E929" s="1315"/>
      <c r="F929" s="1315"/>
      <c r="G929" s="1315"/>
      <c r="H929" s="1316"/>
      <c r="I929" s="1309"/>
      <c r="J929" s="1309"/>
      <c r="K929" s="1309"/>
      <c r="L929" s="1309"/>
      <c r="M929" s="1261"/>
    </row>
    <row r="930" spans="1:13" ht="16.5" thickBot="1">
      <c r="A930" s="1317" t="s">
        <v>189</v>
      </c>
      <c r="B930" s="1318"/>
      <c r="C930" s="1318"/>
      <c r="D930" s="1318"/>
      <c r="E930" s="1318"/>
      <c r="F930" s="1318"/>
      <c r="G930" s="1318"/>
      <c r="H930" s="1319">
        <f>H928/10</f>
        <v>116.7805</v>
      </c>
      <c r="I930" s="1309"/>
      <c r="J930" s="1309"/>
      <c r="K930" s="1309"/>
      <c r="L930" s="1309"/>
      <c r="M930" s="618"/>
    </row>
    <row r="931" spans="1:13" ht="15">
      <c r="A931" s="1320"/>
      <c r="B931" s="1320"/>
      <c r="C931" s="1320"/>
      <c r="D931" s="1320"/>
      <c r="E931" s="1320"/>
      <c r="F931" s="1320"/>
      <c r="G931" s="1320"/>
      <c r="H931" s="1320"/>
      <c r="I931" s="1261"/>
      <c r="J931" s="1261"/>
      <c r="K931" s="1261"/>
      <c r="L931" s="1261"/>
      <c r="M931" s="618"/>
    </row>
    <row r="932" spans="1:13" ht="15">
      <c r="A932" s="1320"/>
      <c r="B932" s="1320"/>
      <c r="C932" s="1320"/>
      <c r="D932" s="1320"/>
      <c r="E932" s="1320"/>
      <c r="F932" s="1320"/>
      <c r="G932" s="1320"/>
      <c r="H932" s="1320"/>
      <c r="I932" s="1261"/>
      <c r="J932" s="1261"/>
      <c r="K932" s="1261"/>
      <c r="L932" s="1261"/>
      <c r="M932" s="618"/>
    </row>
    <row r="933" spans="1:13" ht="15">
      <c r="A933" s="1320"/>
      <c r="B933" s="1320"/>
      <c r="C933" s="1320"/>
      <c r="D933" s="1320"/>
      <c r="E933" s="1320"/>
      <c r="F933" s="1320"/>
      <c r="G933" s="1320"/>
      <c r="H933" s="1320"/>
      <c r="I933" s="1261"/>
      <c r="J933" s="1261"/>
      <c r="K933" s="1261"/>
      <c r="L933" s="1261"/>
      <c r="M933" s="618"/>
    </row>
    <row r="934" spans="1:13" ht="15">
      <c r="A934" s="1320"/>
      <c r="B934" s="1320"/>
      <c r="C934" s="1320"/>
      <c r="D934" s="1320"/>
      <c r="E934" s="1320"/>
      <c r="F934" s="1320"/>
      <c r="G934" s="1320"/>
      <c r="H934" s="1320"/>
      <c r="I934" s="1261"/>
      <c r="J934" s="1261"/>
      <c r="K934" s="1261"/>
      <c r="L934" s="1261"/>
      <c r="M934" s="618"/>
    </row>
    <row r="935" spans="1:13" ht="15">
      <c r="A935" s="1320"/>
      <c r="B935" s="1320"/>
      <c r="C935" s="1320"/>
      <c r="D935" s="1320"/>
      <c r="E935" s="1320"/>
      <c r="F935" s="1320"/>
      <c r="G935" s="1320"/>
      <c r="H935" s="1320"/>
      <c r="I935" s="1261"/>
      <c r="J935" s="1261"/>
      <c r="K935" s="1261"/>
      <c r="L935" s="1261"/>
      <c r="M935" s="618"/>
    </row>
    <row r="936" spans="1:13" ht="15">
      <c r="A936" s="1320"/>
      <c r="B936" s="1320"/>
      <c r="C936" s="1320"/>
      <c r="D936" s="1320"/>
      <c r="E936" s="1320"/>
      <c r="F936" s="1320"/>
      <c r="G936" s="1320"/>
      <c r="H936" s="1320"/>
      <c r="I936" s="1261"/>
      <c r="J936" s="1261"/>
      <c r="K936" s="1261"/>
      <c r="L936" s="1261"/>
      <c r="M936" s="618"/>
    </row>
    <row r="937" spans="1:13" ht="15">
      <c r="A937" s="1320"/>
      <c r="B937" s="1320"/>
      <c r="C937" s="1320"/>
      <c r="D937" s="1320"/>
      <c r="E937" s="1320"/>
      <c r="F937" s="1320"/>
      <c r="G937" s="1320"/>
      <c r="H937" s="1320"/>
      <c r="I937" s="1261"/>
      <c r="J937" s="1261"/>
      <c r="K937" s="1261"/>
      <c r="L937" s="1261"/>
      <c r="M937" s="618"/>
    </row>
    <row r="938" spans="1:13" ht="15">
      <c r="A938" s="1320"/>
      <c r="B938" s="1320"/>
      <c r="C938" s="1320"/>
      <c r="D938" s="1320"/>
      <c r="E938" s="1320"/>
      <c r="F938" s="1320"/>
      <c r="G938" s="1320"/>
      <c r="H938" s="1320"/>
      <c r="I938" s="1261"/>
      <c r="J938" s="1261"/>
      <c r="K938" s="1261"/>
      <c r="L938" s="1261"/>
      <c r="M938" s="618"/>
    </row>
    <row r="939" spans="1:13" ht="15">
      <c r="A939" s="1320"/>
      <c r="B939" s="1320"/>
      <c r="C939" s="1320"/>
      <c r="D939" s="1320"/>
      <c r="E939" s="1320"/>
      <c r="F939" s="1320"/>
      <c r="G939" s="1320"/>
      <c r="H939" s="1320"/>
      <c r="I939" s="1261"/>
      <c r="J939" s="1261"/>
      <c r="K939" s="1261"/>
      <c r="L939" s="1261"/>
      <c r="M939" s="618"/>
    </row>
    <row r="940" spans="1:13" ht="18">
      <c r="A940" s="57"/>
      <c r="B940" s="57"/>
      <c r="C940" s="1321"/>
      <c r="D940" s="1322" t="s">
        <v>190</v>
      </c>
      <c r="E940" s="1323"/>
      <c r="F940" s="1324"/>
      <c r="G940" s="1324"/>
      <c r="H940" s="1324"/>
      <c r="I940" s="1324"/>
      <c r="J940" s="1325"/>
      <c r="K940" s="57"/>
      <c r="L940" s="57"/>
      <c r="M940" s="618"/>
    </row>
    <row r="941" spans="1:13" ht="13.5" thickBo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618"/>
    </row>
    <row r="942" spans="1:13" ht="13.5" thickBot="1">
      <c r="A942" s="57"/>
      <c r="B942" s="1818" t="s">
        <v>191</v>
      </c>
      <c r="C942" s="1819" t="s">
        <v>192</v>
      </c>
      <c r="D942" s="1819"/>
      <c r="E942" s="1862" t="s">
        <v>193</v>
      </c>
      <c r="F942" s="1863"/>
      <c r="G942" s="1818" t="s">
        <v>194</v>
      </c>
      <c r="H942" s="1818"/>
      <c r="I942" s="1816" t="s">
        <v>195</v>
      </c>
      <c r="J942" s="1816"/>
      <c r="K942" s="57"/>
      <c r="L942" s="57"/>
      <c r="M942" s="618"/>
    </row>
    <row r="943" spans="1:13" ht="13.5" thickBot="1">
      <c r="A943" s="57"/>
      <c r="B943" s="1818"/>
      <c r="C943" s="1819"/>
      <c r="D943" s="1819"/>
      <c r="E943" s="1864"/>
      <c r="F943" s="1865"/>
      <c r="G943" s="1818"/>
      <c r="H943" s="1818"/>
      <c r="I943" s="1816"/>
      <c r="J943" s="1816"/>
      <c r="K943" s="57"/>
      <c r="L943" s="57"/>
      <c r="M943" s="618"/>
    </row>
    <row r="944" spans="1:13" ht="15">
      <c r="A944" s="57"/>
      <c r="B944" s="1326">
        <v>1</v>
      </c>
      <c r="C944" s="1327">
        <f>I73</f>
        <v>39.68899999999999</v>
      </c>
      <c r="D944" s="1328"/>
      <c r="E944" s="1329">
        <f>J73</f>
        <v>41.251999999999995</v>
      </c>
      <c r="F944" s="1328"/>
      <c r="G944" s="1330">
        <f>K73</f>
        <v>117.7755</v>
      </c>
      <c r="H944" s="1330"/>
      <c r="I944" s="1331">
        <f>L73</f>
        <v>1014.486</v>
      </c>
      <c r="J944" s="1332"/>
      <c r="K944" s="57"/>
      <c r="L944" s="57"/>
      <c r="M944" s="618"/>
    </row>
    <row r="945" spans="1:13" ht="15">
      <c r="A945" s="57"/>
      <c r="B945" s="1326">
        <v>2</v>
      </c>
      <c r="C945" s="1333">
        <f>I183</f>
        <v>52.823</v>
      </c>
      <c r="D945" s="1328"/>
      <c r="E945" s="1328">
        <f>J183</f>
        <v>55.18</v>
      </c>
      <c r="F945" s="1328"/>
      <c r="G945" s="1330">
        <f>K183</f>
        <v>158.32100000000003</v>
      </c>
      <c r="H945" s="1330"/>
      <c r="I945" s="1334">
        <f>L183</f>
        <v>1415.5700000000002</v>
      </c>
      <c r="J945" s="1332"/>
      <c r="K945" s="57"/>
      <c r="L945" s="57"/>
      <c r="M945" s="618"/>
    </row>
    <row r="946" spans="1:13" ht="15">
      <c r="A946" s="57"/>
      <c r="B946" s="1326">
        <v>3</v>
      </c>
      <c r="C946" s="1327">
        <f>I276</f>
        <v>52.311</v>
      </c>
      <c r="D946" s="1328"/>
      <c r="E946" s="1328">
        <f>J276</f>
        <v>45.06099999999999</v>
      </c>
      <c r="F946" s="1328"/>
      <c r="G946" s="1335">
        <f>K276</f>
        <v>180.382</v>
      </c>
      <c r="H946" s="1330"/>
      <c r="I946" s="1334">
        <f>L276</f>
        <v>1402.63</v>
      </c>
      <c r="J946" s="1332"/>
      <c r="K946" s="57"/>
      <c r="L946" s="57"/>
      <c r="M946" s="618"/>
    </row>
    <row r="947" spans="1:13" ht="12.75" customHeight="1">
      <c r="A947" s="57"/>
      <c r="B947" s="1326">
        <v>4</v>
      </c>
      <c r="C947" s="1333">
        <f>I369</f>
        <v>47.223</v>
      </c>
      <c r="D947" s="1328"/>
      <c r="E947" s="1328">
        <f>J369</f>
        <v>47.923</v>
      </c>
      <c r="F947" s="1328"/>
      <c r="G947" s="1330">
        <f>K369</f>
        <v>156.662</v>
      </c>
      <c r="H947" s="1330"/>
      <c r="I947" s="1334">
        <f>L369</f>
        <v>1184.31</v>
      </c>
      <c r="J947" s="1332"/>
      <c r="K947" s="57"/>
      <c r="L947" s="57"/>
      <c r="M947" s="618"/>
    </row>
    <row r="948" spans="1:13" ht="13.5" customHeight="1">
      <c r="A948" s="57"/>
      <c r="B948" s="1326">
        <v>5</v>
      </c>
      <c r="C948" s="1333">
        <f>I463</f>
        <v>40.025999999999996</v>
      </c>
      <c r="D948" s="1328"/>
      <c r="E948" s="1328">
        <f>J463</f>
        <v>34.778</v>
      </c>
      <c r="F948" s="1328"/>
      <c r="G948" s="1330">
        <f>K463</f>
        <v>195.36900000000003</v>
      </c>
      <c r="H948" s="1330"/>
      <c r="I948" s="1334">
        <f>L463</f>
        <v>1321.7</v>
      </c>
      <c r="J948" s="1332"/>
      <c r="K948" s="57"/>
      <c r="L948" s="57"/>
      <c r="M948" s="618"/>
    </row>
    <row r="949" spans="1:13" ht="15">
      <c r="A949" s="57"/>
      <c r="B949" s="1326">
        <v>6</v>
      </c>
      <c r="C949" s="1327">
        <f>I551</f>
        <v>56.428</v>
      </c>
      <c r="D949" s="1328"/>
      <c r="E949" s="1328">
        <f>J551</f>
        <v>54.227999999999994</v>
      </c>
      <c r="F949" s="1328"/>
      <c r="G949" s="1330">
        <f>K551</f>
        <v>152.692</v>
      </c>
      <c r="H949" s="1330"/>
      <c r="I949" s="1334">
        <f>L551</f>
        <v>1378.5</v>
      </c>
      <c r="J949" s="1332"/>
      <c r="K949" s="57"/>
      <c r="L949" s="57"/>
      <c r="M949" s="618"/>
    </row>
    <row r="950" spans="1:13" ht="15">
      <c r="A950" s="57"/>
      <c r="B950" s="1326">
        <v>7</v>
      </c>
      <c r="C950" s="1333">
        <f>I657</f>
        <v>53.465999999999994</v>
      </c>
      <c r="D950" s="1328"/>
      <c r="E950" s="1328">
        <f>J657</f>
        <v>51.879999999999995</v>
      </c>
      <c r="F950" s="1328"/>
      <c r="G950" s="1330">
        <f>K657</f>
        <v>180.63799999999998</v>
      </c>
      <c r="H950" s="1330"/>
      <c r="I950" s="1334">
        <f>L657</f>
        <v>1437.48</v>
      </c>
      <c r="J950" s="1332"/>
      <c r="K950" s="57"/>
      <c r="L950" s="57"/>
      <c r="M950" s="618"/>
    </row>
    <row r="951" spans="1:13" ht="15">
      <c r="A951" s="57"/>
      <c r="B951" s="1326">
        <v>8</v>
      </c>
      <c r="C951" s="1333">
        <f>I748</f>
        <v>46.562</v>
      </c>
      <c r="D951" s="1328"/>
      <c r="E951" s="1328">
        <f>J748</f>
        <v>42.347</v>
      </c>
      <c r="F951" s="1328"/>
      <c r="G951" s="1330">
        <f>K748</f>
        <v>162.5408</v>
      </c>
      <c r="H951" s="1330"/>
      <c r="I951" s="1334">
        <f>L748</f>
        <v>1232.6036</v>
      </c>
      <c r="J951" s="1332"/>
      <c r="K951" s="57"/>
      <c r="L951" s="57"/>
      <c r="M951" s="618"/>
    </row>
    <row r="952" spans="1:13" ht="15">
      <c r="A952" s="57"/>
      <c r="B952" s="1326">
        <v>9</v>
      </c>
      <c r="C952" s="1333">
        <f>I830</f>
        <v>33.646</v>
      </c>
      <c r="D952" s="1328"/>
      <c r="E952" s="1328">
        <f>J830</f>
        <v>46.733</v>
      </c>
      <c r="F952" s="1328"/>
      <c r="G952" s="1330">
        <f>K830</f>
        <v>171.045</v>
      </c>
      <c r="H952" s="1330"/>
      <c r="I952" s="1334">
        <f>L830</f>
        <v>1288.4300000000003</v>
      </c>
      <c r="J952" s="1332"/>
      <c r="K952" s="57"/>
      <c r="L952" s="57"/>
      <c r="M952" s="618"/>
    </row>
    <row r="953" spans="1:13" ht="15">
      <c r="A953" s="57"/>
      <c r="B953" s="1326">
        <v>10</v>
      </c>
      <c r="C953" s="1333">
        <f>I923</f>
        <v>45.650999999999996</v>
      </c>
      <c r="D953" s="1328"/>
      <c r="E953" s="1328">
        <f>J923</f>
        <v>31.687999999999995</v>
      </c>
      <c r="F953" s="1328"/>
      <c r="G953" s="1330">
        <f>K923</f>
        <v>217.861</v>
      </c>
      <c r="H953" s="1330"/>
      <c r="I953" s="1334">
        <f>L923</f>
        <v>1407.07</v>
      </c>
      <c r="J953" s="1332"/>
      <c r="K953" s="57"/>
      <c r="L953" s="57"/>
      <c r="M953" s="618"/>
    </row>
    <row r="954" spans="1:13" ht="15">
      <c r="A954" s="57"/>
      <c r="B954" s="1326"/>
      <c r="C954" s="1333"/>
      <c r="D954" s="1328"/>
      <c r="E954" s="1328"/>
      <c r="F954" s="1328"/>
      <c r="G954" s="1330"/>
      <c r="H954" s="1330"/>
      <c r="I954" s="1336"/>
      <c r="J954" s="1332"/>
      <c r="K954" s="57"/>
      <c r="L954" s="57"/>
      <c r="M954" s="618"/>
    </row>
    <row r="955" spans="1:14" ht="18">
      <c r="A955" s="57"/>
      <c r="B955" s="1326" t="s">
        <v>196</v>
      </c>
      <c r="C955" s="1337">
        <f>SUM(C944:C953)</f>
        <v>467.82500000000005</v>
      </c>
      <c r="D955" s="1338"/>
      <c r="E955" s="1338">
        <f>SUM(E944:E953)</f>
        <v>451.06999999999994</v>
      </c>
      <c r="F955" s="1338"/>
      <c r="G955" s="1330">
        <f>SUM(G944:G953)</f>
        <v>1693.2863000000002</v>
      </c>
      <c r="H955" s="1339"/>
      <c r="I955" s="1340">
        <f>SUM(I944:I953)</f>
        <v>13082.7796</v>
      </c>
      <c r="J955" s="1341"/>
      <c r="K955" s="57"/>
      <c r="L955" s="57"/>
      <c r="M955" s="618"/>
      <c r="N955" t="s">
        <v>197</v>
      </c>
    </row>
    <row r="956" spans="1:13" ht="18">
      <c r="A956" s="57"/>
      <c r="B956" s="1342" t="s">
        <v>198</v>
      </c>
      <c r="C956" s="1338"/>
      <c r="D956" s="1338"/>
      <c r="E956" s="1338"/>
      <c r="F956" s="1343"/>
      <c r="G956" s="1338"/>
      <c r="H956" s="1339"/>
      <c r="I956" s="1338"/>
      <c r="J956" s="1341"/>
      <c r="K956" s="57"/>
      <c r="L956" s="57"/>
      <c r="M956" s="618"/>
    </row>
    <row r="957" spans="1:13" ht="16.5" thickBot="1">
      <c r="A957" s="57"/>
      <c r="B957" s="1344" t="s">
        <v>199</v>
      </c>
      <c r="C957" s="1345"/>
      <c r="D957" s="442"/>
      <c r="E957" s="1346"/>
      <c r="F957" s="442"/>
      <c r="G957" s="844"/>
      <c r="H957" s="844"/>
      <c r="I957" s="1347"/>
      <c r="J957" s="1348"/>
      <c r="K957" s="57"/>
      <c r="L957" s="57"/>
      <c r="M957" s="57"/>
    </row>
    <row r="958" spans="1:13" ht="15">
      <c r="A958" s="57"/>
      <c r="B958" s="1349"/>
      <c r="C958" s="57"/>
      <c r="D958" s="57"/>
      <c r="E958" s="57"/>
      <c r="F958" s="57"/>
      <c r="G958" s="223"/>
      <c r="H958" s="223"/>
      <c r="I958" s="1325"/>
      <c r="J958" s="1350"/>
      <c r="K958" s="57"/>
      <c r="L958" s="57"/>
      <c r="M958" s="57"/>
    </row>
    <row r="959" spans="1:13" ht="15">
      <c r="A959" s="798"/>
      <c r="B959" s="798"/>
      <c r="C959" s="798"/>
      <c r="D959" s="798"/>
      <c r="E959" s="798"/>
      <c r="F959" s="798"/>
      <c r="G959" s="799"/>
      <c r="H959" s="799"/>
      <c r="I959" s="800"/>
      <c r="J959" s="621"/>
      <c r="K959" s="621"/>
      <c r="L959" s="621"/>
      <c r="M959" s="618"/>
    </row>
    <row r="960" spans="1:13" ht="15.75">
      <c r="A960" s="618"/>
      <c r="B960" s="618"/>
      <c r="C960" s="618"/>
      <c r="D960" s="1309" t="s">
        <v>263</v>
      </c>
      <c r="E960" s="618"/>
      <c r="F960" s="618"/>
      <c r="G960" s="620"/>
      <c r="H960" s="620"/>
      <c r="I960" s="621"/>
      <c r="J960" s="621"/>
      <c r="K960" s="621"/>
      <c r="L960" s="621"/>
      <c r="M960" s="618"/>
    </row>
    <row r="961" ht="13.5" thickBot="1"/>
    <row r="962" spans="1:14" ht="26.25" thickBot="1">
      <c r="A962" s="1351" t="s">
        <v>201</v>
      </c>
      <c r="B962" s="1352">
        <v>1</v>
      </c>
      <c r="C962" s="1353">
        <v>2</v>
      </c>
      <c r="D962" s="1353">
        <v>3</v>
      </c>
      <c r="E962" s="1354">
        <v>4</v>
      </c>
      <c r="F962" s="1353">
        <v>5</v>
      </c>
      <c r="G962" s="1353">
        <v>6</v>
      </c>
      <c r="H962" s="1353">
        <v>7</v>
      </c>
      <c r="I962" s="1353">
        <v>8</v>
      </c>
      <c r="J962" s="1353">
        <v>9</v>
      </c>
      <c r="K962" s="1353">
        <v>10</v>
      </c>
      <c r="L962" s="1355" t="s">
        <v>264</v>
      </c>
      <c r="M962" s="1355" t="s">
        <v>203</v>
      </c>
      <c r="N962" s="1356" t="s">
        <v>204</v>
      </c>
    </row>
    <row r="963" spans="1:14" ht="12.75">
      <c r="A963" s="1070" t="s">
        <v>48</v>
      </c>
      <c r="B963" s="77">
        <f>(F46+F62)/1000</f>
        <v>0.04</v>
      </c>
      <c r="C963" s="77">
        <f>(F115+F155)/1000</f>
        <v>0.04</v>
      </c>
      <c r="D963" s="77">
        <f>(F230+F244+F265)/1000</f>
        <v>0.05</v>
      </c>
      <c r="E963" s="77">
        <f>(F305+F341)/1000</f>
        <v>0.04</v>
      </c>
      <c r="F963" s="77">
        <f>(F422+F436)/1000</f>
        <v>0.03</v>
      </c>
      <c r="G963" s="77">
        <f>(F525+F538)/1000</f>
        <v>0.04</v>
      </c>
      <c r="H963" s="77">
        <f>(F609+F626)/1000</f>
        <v>0.03</v>
      </c>
      <c r="I963" s="77">
        <f>(F676+F702+F719+F727+F737)/1000</f>
        <v>0.08</v>
      </c>
      <c r="J963" s="77">
        <f>(F804/1000)</f>
        <v>0.02</v>
      </c>
      <c r="K963" s="77">
        <f>(F859+F877)/1000</f>
        <v>0.03</v>
      </c>
      <c r="L963" s="1357">
        <f aca="true" t="shared" si="5" ref="L963:L991">SUM(B963:K963)</f>
        <v>0.4</v>
      </c>
      <c r="M963" s="1357">
        <f aca="true" t="shared" si="6" ref="M963:M991">L963/10</f>
        <v>0.04</v>
      </c>
      <c r="N963" s="1358">
        <v>0.07</v>
      </c>
    </row>
    <row r="964" spans="1:14" ht="12.75">
      <c r="A964" s="1070" t="s">
        <v>41</v>
      </c>
      <c r="B964" s="77">
        <f>F45/1000</f>
        <v>0.03</v>
      </c>
      <c r="C964" s="77">
        <f>F154/1000</f>
        <v>0.03</v>
      </c>
      <c r="D964" s="77">
        <f>F243/1000</f>
        <v>0.03</v>
      </c>
      <c r="E964" s="77">
        <f>F340/1000</f>
        <v>0.03</v>
      </c>
      <c r="F964" s="77">
        <f>F435/1000</f>
        <v>0.03</v>
      </c>
      <c r="G964" s="77">
        <f>F524/1000</f>
        <v>0.03</v>
      </c>
      <c r="H964" s="77">
        <f>F625/1000</f>
        <v>0.03</v>
      </c>
      <c r="I964" s="77">
        <f>F718/1000</f>
        <v>0.03</v>
      </c>
      <c r="J964" s="77">
        <f>F803/1000</f>
        <v>0.03</v>
      </c>
      <c r="K964" s="77">
        <f>F899/1000</f>
        <v>0.03</v>
      </c>
      <c r="L964" s="1357">
        <f t="shared" si="5"/>
        <v>0.30000000000000004</v>
      </c>
      <c r="M964" s="1357">
        <f t="shared" si="6"/>
        <v>0.030000000000000006</v>
      </c>
      <c r="N964" s="1357">
        <v>0.04</v>
      </c>
    </row>
    <row r="965" spans="1:14" ht="12.75">
      <c r="A965" s="1070" t="s">
        <v>205</v>
      </c>
      <c r="B965" s="77"/>
      <c r="C965" s="77">
        <f>(F147+F139)/1000</f>
        <v>0.007</v>
      </c>
      <c r="D965" s="77">
        <f>(F236+F260+F231)/1000</f>
        <v>0.011</v>
      </c>
      <c r="E965" s="77"/>
      <c r="F965" s="77">
        <f>(F447+F425)/1000</f>
        <v>0.043</v>
      </c>
      <c r="G965" s="1359">
        <f>(F533/1000)</f>
        <v>0.003</v>
      </c>
      <c r="H965" s="77">
        <f>(F618+F611)/1000</f>
        <v>0.008</v>
      </c>
      <c r="I965" s="77">
        <f>(F729/1000)</f>
        <v>0.002</v>
      </c>
      <c r="J965" s="77">
        <f>(F817/1000)</f>
        <v>0.006</v>
      </c>
      <c r="K965" s="77">
        <f>(F909+F888)/1000</f>
        <v>0.048</v>
      </c>
      <c r="L965" s="1357">
        <f t="shared" si="5"/>
        <v>0.128</v>
      </c>
      <c r="M965" s="1357">
        <f t="shared" si="6"/>
        <v>0.0128</v>
      </c>
      <c r="N965" s="1357">
        <v>0.025</v>
      </c>
    </row>
    <row r="966" spans="1:14" ht="12.75">
      <c r="A966" s="1070" t="s">
        <v>206</v>
      </c>
      <c r="B966" s="77">
        <f>(F10/1000)</f>
        <v>0.015</v>
      </c>
      <c r="C966" s="77">
        <f>(F108+F149+F168)/1000</f>
        <v>0.054</v>
      </c>
      <c r="D966" s="77">
        <f>(F195/1000)</f>
        <v>0.015</v>
      </c>
      <c r="E966" s="77">
        <f>(F298+F329+F352)/1000</f>
        <v>0.056</v>
      </c>
      <c r="F966" s="77"/>
      <c r="G966" s="77">
        <f>(F481+F505)/1000</f>
        <v>0.022</v>
      </c>
      <c r="H966" s="77">
        <f>(F578+F620+F637)/1000</f>
        <v>0.055</v>
      </c>
      <c r="I966" s="77">
        <f>(F667+F694+F712)/1000</f>
        <v>0.034</v>
      </c>
      <c r="J966" s="77">
        <f>(F758+F759+F794)/1000</f>
        <v>0.049</v>
      </c>
      <c r="K966" s="77">
        <f>(F850+F876)/1000</f>
        <v>0.025</v>
      </c>
      <c r="L966" s="1357">
        <f t="shared" si="5"/>
        <v>0.325</v>
      </c>
      <c r="M966" s="1357">
        <f t="shared" si="6"/>
        <v>0.0325</v>
      </c>
      <c r="N966" s="1357">
        <v>0.03</v>
      </c>
    </row>
    <row r="967" spans="1:14" ht="12.75">
      <c r="A967" s="1070" t="s">
        <v>102</v>
      </c>
      <c r="B967" s="77">
        <f>F31/1000</f>
        <v>0.007</v>
      </c>
      <c r="C967" s="77"/>
      <c r="D967" s="1360">
        <f>F238/1000</f>
        <v>0.04</v>
      </c>
      <c r="E967" s="77"/>
      <c r="F967" s="77">
        <f>F389/1000</f>
        <v>0.015</v>
      </c>
      <c r="G967" s="77">
        <f>F514/1000</f>
        <v>0.035</v>
      </c>
      <c r="H967" s="77"/>
      <c r="I967" s="77"/>
      <c r="J967" s="77"/>
      <c r="K967" s="77"/>
      <c r="L967" s="1357">
        <f t="shared" si="5"/>
        <v>0.097</v>
      </c>
      <c r="M967" s="1357">
        <f t="shared" si="6"/>
        <v>0.0097</v>
      </c>
      <c r="N967" s="1357">
        <v>0.008</v>
      </c>
    </row>
    <row r="968" spans="1:14" ht="12.75">
      <c r="A968" s="1070" t="s">
        <v>32</v>
      </c>
      <c r="B968" s="77">
        <f>(F32/1000)</f>
        <v>0.035</v>
      </c>
      <c r="C968" s="77">
        <f>(F132/1000)</f>
        <v>0.09</v>
      </c>
      <c r="D968" s="77">
        <f>(F262+F221)/1000</f>
        <v>0.12</v>
      </c>
      <c r="E968" s="77">
        <f>(F320/1000)</f>
        <v>0.042</v>
      </c>
      <c r="F968" s="77">
        <f>(F428)/1000</f>
        <v>0.08</v>
      </c>
      <c r="G968" s="77">
        <f>(F506+F534)/1000</f>
        <v>0.156</v>
      </c>
      <c r="H968" s="77">
        <f>(F601/1000)</f>
        <v>0.042</v>
      </c>
      <c r="I968" s="77">
        <f>(F695+F709+F734)/1000</f>
        <v>0.175</v>
      </c>
      <c r="J968" s="77">
        <f>(F785/1000)</f>
        <v>0.042</v>
      </c>
      <c r="K968" s="77">
        <f>(F878+F891)/1000</f>
        <v>0.11</v>
      </c>
      <c r="L968" s="1357">
        <f t="shared" si="5"/>
        <v>0.892</v>
      </c>
      <c r="M968" s="1357">
        <f t="shared" si="6"/>
        <v>0.0892</v>
      </c>
      <c r="N968" s="1357">
        <v>0.12</v>
      </c>
    </row>
    <row r="969" spans="1:14" ht="12.75">
      <c r="A969" s="1070" t="s">
        <v>207</v>
      </c>
      <c r="B969" s="77">
        <f>(F33+F34+F39+F40+F41)/1000</f>
        <v>0.181</v>
      </c>
      <c r="C969" s="77">
        <f>(F133+F134+F143+F145)/1000</f>
        <v>0.036</v>
      </c>
      <c r="D969" s="77">
        <f>(F220+F222+F223+F224+F255+F256)/1000</f>
        <v>0.108</v>
      </c>
      <c r="E969" s="77">
        <f>(F321+F322+F323+F327+F328+F335)/1000</f>
        <v>0.136</v>
      </c>
      <c r="F969" s="77">
        <f>(F417+F418+F421)/1000</f>
        <v>0.024</v>
      </c>
      <c r="G969" s="77">
        <f>(F507+F508+F509+F517+F518+F537)/1000</f>
        <v>0.049</v>
      </c>
      <c r="H969" s="77">
        <f>(F602+F603+F605+F608+F614+F615)/1000</f>
        <v>0.096</v>
      </c>
      <c r="I969" s="77">
        <f>(F696+F697+F710+F711+F713+F726)/1000</f>
        <v>0.111</v>
      </c>
      <c r="J969" s="77">
        <f>(F786+F787+F788+F792+F793+F799)/1000</f>
        <v>0.141</v>
      </c>
      <c r="K969" s="77">
        <f>(F879+F880+F886+F899)/1000</f>
        <v>0.06</v>
      </c>
      <c r="L969" s="1357">
        <f t="shared" si="5"/>
        <v>0.942</v>
      </c>
      <c r="M969" s="1357">
        <f t="shared" si="6"/>
        <v>0.09419999999999999</v>
      </c>
      <c r="N969" s="1357">
        <v>0.20500000000000002</v>
      </c>
    </row>
    <row r="970" spans="1:14" ht="12.75">
      <c r="A970" s="1070" t="s">
        <v>208</v>
      </c>
      <c r="B970" s="1359"/>
      <c r="C970" s="77"/>
      <c r="D970" s="77"/>
      <c r="E970" s="77"/>
      <c r="F970" s="77"/>
      <c r="G970" s="77"/>
      <c r="H970" s="77">
        <f>F640/1000</f>
        <v>0.01</v>
      </c>
      <c r="I970" s="77"/>
      <c r="J970" s="77"/>
      <c r="K970" s="77">
        <f>F916/1000</f>
        <v>0.1</v>
      </c>
      <c r="L970" s="1357">
        <f t="shared" si="5"/>
        <v>0.11</v>
      </c>
      <c r="M970" s="1357">
        <f t="shared" si="6"/>
        <v>0.011</v>
      </c>
      <c r="N970" s="1357">
        <v>0.095</v>
      </c>
    </row>
    <row r="971" spans="1:14" ht="12.75">
      <c r="A971" s="1070" t="s">
        <v>209</v>
      </c>
      <c r="B971" s="77">
        <f>F43/1000</f>
        <v>0.013</v>
      </c>
      <c r="C971" s="77">
        <f>F152/1000</f>
        <v>0.012</v>
      </c>
      <c r="D971" s="77">
        <f>F241/1000</f>
        <v>0.013</v>
      </c>
      <c r="E971" s="77">
        <f>F337/1000</f>
        <v>0.013</v>
      </c>
      <c r="F971" s="77">
        <f>F433/1000</f>
        <v>0.013</v>
      </c>
      <c r="G971" s="77">
        <f>F521/1000</f>
        <v>0.013</v>
      </c>
      <c r="H971" s="77">
        <f>F623/1000</f>
        <v>0.015</v>
      </c>
      <c r="I971" s="77">
        <f>F716/1000</f>
        <v>0.013</v>
      </c>
      <c r="J971" s="77">
        <f>F801/1000</f>
        <v>0.014</v>
      </c>
      <c r="K971" s="77">
        <f>F897/1000</f>
        <v>0.015</v>
      </c>
      <c r="L971" s="1357">
        <f t="shared" si="5"/>
        <v>0.134</v>
      </c>
      <c r="M971" s="1357">
        <f t="shared" si="6"/>
        <v>0.0134</v>
      </c>
      <c r="N971" s="1357">
        <v>0.009000000000000001</v>
      </c>
    </row>
    <row r="972" spans="1:14" ht="12.75">
      <c r="A972" s="1070" t="s">
        <v>210</v>
      </c>
      <c r="B972" s="77">
        <f>F16/1000</f>
        <v>0.02</v>
      </c>
      <c r="C972" s="1360"/>
      <c r="D972" s="77">
        <f>F204/1000</f>
        <v>0.03</v>
      </c>
      <c r="E972" s="77">
        <f>F357/1000</f>
        <v>0.02</v>
      </c>
      <c r="F972" s="77">
        <f>F395/1000</f>
        <v>0.02</v>
      </c>
      <c r="G972" s="77">
        <f>F487/1000</f>
        <v>0.02</v>
      </c>
      <c r="H972" s="77">
        <f>F585/1000</f>
        <v>0.03</v>
      </c>
      <c r="I972" s="77"/>
      <c r="J972" s="77">
        <f>(F820+F768)/1000</f>
        <v>0.06</v>
      </c>
      <c r="K972" s="77"/>
      <c r="L972" s="1357">
        <f t="shared" si="5"/>
        <v>0.2</v>
      </c>
      <c r="M972" s="1357">
        <f t="shared" si="6"/>
        <v>0.02</v>
      </c>
      <c r="N972" s="1357">
        <v>0.007</v>
      </c>
    </row>
    <row r="973" spans="1:14" ht="12.75">
      <c r="A973" s="1070" t="s">
        <v>17</v>
      </c>
      <c r="B973" s="77">
        <f>(F11+F14+F44+F61)/1000</f>
        <v>0.038</v>
      </c>
      <c r="C973" s="77">
        <f>(F174+F167+F153+F112+F109)/1000</f>
        <v>0.032</v>
      </c>
      <c r="D973" s="77">
        <f>(F197+F202+F242+F268)/1000</f>
        <v>0.026</v>
      </c>
      <c r="E973" s="77">
        <f>(F299+F302+F339+F354+F360)/1000</f>
        <v>0.044</v>
      </c>
      <c r="F973" s="77">
        <f>(F390+F394+F434+F449+F454)/1000</f>
        <v>0.049</v>
      </c>
      <c r="G973" s="77">
        <f>(F482+F485+F522+F541)/1000</f>
        <v>0.038</v>
      </c>
      <c r="H973" s="77">
        <f>(F579+F582+F624+F639+F649)/1000</f>
        <v>0.045</v>
      </c>
      <c r="I973" s="77">
        <f>(F669+F673+F717+F740)/1000</f>
        <v>0.038</v>
      </c>
      <c r="J973" s="77">
        <f>(F761+F766+F802+F816+F823)/1000</f>
        <v>0.033</v>
      </c>
      <c r="K973" s="77">
        <f>(F852+F856+F898+F911+F915)/1000</f>
        <v>0.053</v>
      </c>
      <c r="L973" s="1357">
        <f t="shared" si="5"/>
        <v>0.39599999999999996</v>
      </c>
      <c r="M973" s="1357">
        <f t="shared" si="6"/>
        <v>0.039599999999999996</v>
      </c>
      <c r="N973" s="1357">
        <v>0.037</v>
      </c>
    </row>
    <row r="974" spans="1:14" ht="12.75">
      <c r="A974" s="1070" t="s">
        <v>37</v>
      </c>
      <c r="B974" s="77">
        <f>(F58+F38)/1000</f>
        <v>0.006</v>
      </c>
      <c r="C974" s="77">
        <f>(F140+F163)/1000</f>
        <v>0.006</v>
      </c>
      <c r="D974" s="77">
        <f>(F254+F229)/1000</f>
        <v>0.007</v>
      </c>
      <c r="E974" s="77">
        <f>(F349+F326)/1000</f>
        <v>0.006</v>
      </c>
      <c r="F974" s="77">
        <f>(F444+F423)/1000</f>
        <v>0.006</v>
      </c>
      <c r="G974" s="77">
        <f>(F512/1000)</f>
        <v>0.003</v>
      </c>
      <c r="H974" s="77">
        <f>(F634+F610)/1000</f>
        <v>0.006</v>
      </c>
      <c r="I974" s="77">
        <f>(F728+F708)/1000</f>
        <v>0.006</v>
      </c>
      <c r="J974" s="77">
        <f>(F791+F812)/1000</f>
        <v>0.005</v>
      </c>
      <c r="K974" s="77">
        <f>(F906+F884)/1000</f>
        <v>0.005</v>
      </c>
      <c r="L974" s="1357">
        <f t="shared" si="5"/>
        <v>0.055999999999999994</v>
      </c>
      <c r="M974" s="1357">
        <f t="shared" si="6"/>
        <v>0.005599999999999999</v>
      </c>
      <c r="N974" s="1357">
        <v>0.009000000000000001</v>
      </c>
    </row>
    <row r="975" spans="1:14" ht="12.75">
      <c r="A975" s="1070" t="s">
        <v>16</v>
      </c>
      <c r="B975" s="77">
        <f>(F9+F30+F37+F55)/1000</f>
        <v>0.013</v>
      </c>
      <c r="C975" s="77">
        <f>(F164+F150+F144+F138+F131+F107)/1000</f>
        <v>0.017</v>
      </c>
      <c r="D975" s="77">
        <f>(F196+F218+F239+F253+F264)/1000</f>
        <v>0.016</v>
      </c>
      <c r="E975" s="77">
        <f>(F297+F318+F331+F350)/1000</f>
        <v>0.013</v>
      </c>
      <c r="F975" s="77">
        <f>(F388+F415+F430+F445)/1000</f>
        <v>0.015</v>
      </c>
      <c r="G975" s="77">
        <f>(F480+F503+F511+F535)/1000</f>
        <v>0.012</v>
      </c>
      <c r="H975" s="77">
        <f>(F577+F599+F616+F621+F635)/1000</f>
        <v>0.014</v>
      </c>
      <c r="I975" s="77">
        <f>(F668+F693+F707+F736)/1000</f>
        <v>0.013</v>
      </c>
      <c r="J975" s="77">
        <f>(F760+F783+F795+F813)/1000</f>
        <v>0.013</v>
      </c>
      <c r="K975" s="77">
        <f>(F851+F875+F885+F893+F907)/1000</f>
        <v>0.018</v>
      </c>
      <c r="L975" s="1357">
        <f t="shared" si="5"/>
        <v>0.144</v>
      </c>
      <c r="M975" s="1357">
        <f t="shared" si="6"/>
        <v>0.0144</v>
      </c>
      <c r="N975" s="1357">
        <v>0.022</v>
      </c>
    </row>
    <row r="976" spans="1:14" ht="12.75">
      <c r="A976" s="1070" t="s">
        <v>46</v>
      </c>
      <c r="B976" s="77">
        <f>(F54/1000)</f>
        <v>0.058</v>
      </c>
      <c r="C976" s="77">
        <f>(F142+F165)/1000</f>
        <v>0.015</v>
      </c>
      <c r="D976" s="77">
        <f>(F232/1000)</f>
        <v>0.005</v>
      </c>
      <c r="E976" s="77">
        <f>(F351/1000)</f>
        <v>0.005</v>
      </c>
      <c r="F976" s="77">
        <f>(F448+F426+F416)/1000</f>
        <v>0.037</v>
      </c>
      <c r="G976" s="77">
        <f>F516/1000</f>
        <v>0.02</v>
      </c>
      <c r="H976" s="77">
        <f>(F612+F636)/1000</f>
        <v>0.012</v>
      </c>
      <c r="I976" s="1360">
        <f>(F731+F705)/1000</f>
        <v>0.011</v>
      </c>
      <c r="J976" s="77">
        <f>(F814/1000)</f>
        <v>0.008</v>
      </c>
      <c r="K976" s="77">
        <f>(F910+F887)/1000</f>
        <v>0.012</v>
      </c>
      <c r="L976" s="1357">
        <f t="shared" si="5"/>
        <v>0.18300000000000005</v>
      </c>
      <c r="M976" s="1357">
        <f t="shared" si="6"/>
        <v>0.018300000000000004</v>
      </c>
      <c r="N976" s="1463">
        <v>0.02</v>
      </c>
    </row>
    <row r="977" spans="1:14" ht="12.75">
      <c r="A977" s="1070" t="s">
        <v>211</v>
      </c>
      <c r="B977" s="77">
        <f>(F8+F53)/1000</f>
        <v>0.19</v>
      </c>
      <c r="C977" s="77">
        <f>(F106+F113+F141+F162)/1000</f>
        <v>0.265</v>
      </c>
      <c r="D977" s="77">
        <f>(F198+F200+F233+F235)/1000</f>
        <v>0.1855</v>
      </c>
      <c r="E977" s="77">
        <f>(F296+F303+F348)/1000</f>
        <v>0.15</v>
      </c>
      <c r="F977" s="77">
        <f>(F387+F393+F424+F429+F446)/1000</f>
        <v>0.32</v>
      </c>
      <c r="G977" s="77">
        <f>(F479+F515+F532)/1000</f>
        <v>0.19</v>
      </c>
      <c r="H977" s="77">
        <f>(F576+F583+F613+F633+F643)/1000</f>
        <v>0.35</v>
      </c>
      <c r="I977" s="77">
        <f>(F670+F674+F704+F730+F735)/1000</f>
        <v>0.2</v>
      </c>
      <c r="J977" s="77">
        <f>(F762+F765+F811)/1000</f>
        <v>0.171</v>
      </c>
      <c r="K977" s="77">
        <f>(F853+F857+F889+F892+F908)/1000</f>
        <v>0.35</v>
      </c>
      <c r="L977" s="1357">
        <f t="shared" si="5"/>
        <v>2.3715</v>
      </c>
      <c r="M977" s="1357">
        <f t="shared" si="6"/>
        <v>0.23715000000000003</v>
      </c>
      <c r="N977" s="1357">
        <v>0.39</v>
      </c>
    </row>
    <row r="978" spans="1:14" ht="12.75">
      <c r="A978" s="1070" t="s">
        <v>212</v>
      </c>
      <c r="B978" s="77"/>
      <c r="C978" s="77">
        <f>F171/1000</f>
        <v>0.02</v>
      </c>
      <c r="D978" s="77"/>
      <c r="E978" s="77"/>
      <c r="F978" s="77"/>
      <c r="G978" s="77"/>
      <c r="H978" s="77"/>
      <c r="I978" s="77"/>
      <c r="J978" s="77"/>
      <c r="K978" s="77"/>
      <c r="L978" s="1357">
        <f t="shared" si="5"/>
        <v>0.02</v>
      </c>
      <c r="M978" s="1357">
        <f t="shared" si="6"/>
        <v>0.002</v>
      </c>
      <c r="N978" s="1357"/>
    </row>
    <row r="979" spans="1:14" ht="12.75">
      <c r="A979" s="1070" t="s">
        <v>84</v>
      </c>
      <c r="B979" s="77"/>
      <c r="C979" s="77">
        <f>F166/1000</f>
        <v>0.068</v>
      </c>
      <c r="D979" s="77"/>
      <c r="E979" s="77">
        <f>F353/1000</f>
        <v>0.068</v>
      </c>
      <c r="F979" s="77"/>
      <c r="G979" s="77"/>
      <c r="H979" s="77"/>
      <c r="I979" s="77"/>
      <c r="J979" s="77">
        <f>F815/1000</f>
        <v>0.068</v>
      </c>
      <c r="K979" s="77"/>
      <c r="L979" s="1357">
        <f t="shared" si="5"/>
        <v>0.20400000000000001</v>
      </c>
      <c r="M979" s="1357">
        <f t="shared" si="6"/>
        <v>0.0204</v>
      </c>
      <c r="N979" s="1357">
        <v>0.03</v>
      </c>
    </row>
    <row r="980" spans="1:14" ht="12.75">
      <c r="A980" s="1070" t="s">
        <v>36</v>
      </c>
      <c r="B980" s="77">
        <f>F36/1000</f>
        <v>0.075</v>
      </c>
      <c r="C980" s="77"/>
      <c r="D980" s="77">
        <f>F227/1000</f>
        <v>0.055</v>
      </c>
      <c r="E980" s="77"/>
      <c r="F980" s="77"/>
      <c r="G980" s="77">
        <f>F519/1000</f>
        <v>0.075</v>
      </c>
      <c r="H980" s="77">
        <f>F607/1000</f>
        <v>0.055</v>
      </c>
      <c r="I980" s="77"/>
      <c r="J980" s="77">
        <f>F790/1000</f>
        <v>0.065</v>
      </c>
      <c r="K980" s="77"/>
      <c r="L980" s="1357">
        <f t="shared" si="5"/>
        <v>0.325</v>
      </c>
      <c r="M980" s="1357">
        <f t="shared" si="6"/>
        <v>0.0325</v>
      </c>
      <c r="N980" s="1361">
        <v>0.05</v>
      </c>
    </row>
    <row r="981" spans="1:14" ht="12.75">
      <c r="A981" s="1070" t="s">
        <v>213</v>
      </c>
      <c r="B981" s="77"/>
      <c r="C981" s="77">
        <f>F137/1000</f>
        <v>0.065</v>
      </c>
      <c r="D981" s="77">
        <f>F217/1000</f>
        <v>0.02</v>
      </c>
      <c r="E981" s="77">
        <f>(F325+F317)/1000</f>
        <v>0.065</v>
      </c>
      <c r="F981" s="77">
        <f>F414/1000</f>
        <v>0.02</v>
      </c>
      <c r="G981" s="77"/>
      <c r="H981" s="77">
        <f>F598/1000</f>
        <v>0.02</v>
      </c>
      <c r="I981" s="77">
        <f>(F700/1000)</f>
        <v>0.065</v>
      </c>
      <c r="J981" s="77">
        <f>F782/1000</f>
        <v>0</v>
      </c>
      <c r="K981" s="77">
        <f>F874/1000</f>
        <v>0.02</v>
      </c>
      <c r="L981" s="1357">
        <f t="shared" si="5"/>
        <v>0.275</v>
      </c>
      <c r="M981" s="1357">
        <f t="shared" si="6"/>
        <v>0.027500000000000004</v>
      </c>
      <c r="N981" s="1361">
        <v>0.02</v>
      </c>
    </row>
    <row r="982" spans="1:14" ht="12.75">
      <c r="A982" s="1070" t="s">
        <v>214</v>
      </c>
      <c r="B982" s="77"/>
      <c r="C982" s="77"/>
      <c r="D982" s="77"/>
      <c r="E982" s="77"/>
      <c r="G982" s="77"/>
      <c r="H982" s="77"/>
      <c r="I982" s="77"/>
      <c r="J982" s="77"/>
      <c r="K982" s="77"/>
      <c r="L982" s="1357">
        <f t="shared" si="5"/>
        <v>0</v>
      </c>
      <c r="M982" s="1357">
        <f t="shared" si="6"/>
        <v>0</v>
      </c>
      <c r="N982" s="1361">
        <v>0.005</v>
      </c>
    </row>
    <row r="983" spans="1:14" ht="12.75">
      <c r="A983" s="1070" t="s">
        <v>107</v>
      </c>
      <c r="B983" s="77"/>
      <c r="C983" s="77"/>
      <c r="D983" s="77">
        <f>F252/1000</f>
        <v>0.06</v>
      </c>
      <c r="E983" s="77"/>
      <c r="F983" s="77">
        <f>F420/1000</f>
        <v>0.06</v>
      </c>
      <c r="G983" s="77"/>
      <c r="H983" s="77"/>
      <c r="I983" s="77">
        <f>F725/1000</f>
        <v>0.06</v>
      </c>
      <c r="J983" s="77"/>
      <c r="K983" s="77">
        <f>F883/1000</f>
        <v>0.06</v>
      </c>
      <c r="L983" s="1357">
        <f t="shared" si="5"/>
        <v>0.24</v>
      </c>
      <c r="M983" s="1357">
        <f t="shared" si="6"/>
        <v>0.024</v>
      </c>
      <c r="N983" s="1357">
        <v>0.032</v>
      </c>
    </row>
    <row r="984" spans="1:14" ht="12.75">
      <c r="A984" s="1070" t="s">
        <v>72</v>
      </c>
      <c r="B984" s="77"/>
      <c r="C984" s="77">
        <f>(F135/1000)</f>
        <v>0.01</v>
      </c>
      <c r="D984" s="77">
        <f>(F219/1000)</f>
        <v>0.005</v>
      </c>
      <c r="E984" s="77">
        <f>F319/1000</f>
        <v>0.005</v>
      </c>
      <c r="F984" s="77"/>
      <c r="G984" s="77">
        <f>(F504+F513)/1000</f>
        <v>0.015</v>
      </c>
      <c r="H984" s="77">
        <f>F600/1000</f>
        <v>0.005</v>
      </c>
      <c r="I984" s="77">
        <f>F698/1000</f>
        <v>0.005</v>
      </c>
      <c r="J984" s="77">
        <f>F784/1000</f>
        <v>0.005</v>
      </c>
      <c r="K984" s="77"/>
      <c r="L984" s="1357">
        <f t="shared" si="5"/>
        <v>0.049999999999999996</v>
      </c>
      <c r="M984" s="1357">
        <f t="shared" si="6"/>
        <v>0.004999999999999999</v>
      </c>
      <c r="N984" s="1463">
        <v>0.009000000000000001</v>
      </c>
    </row>
    <row r="985" spans="1:14" ht="12.75">
      <c r="A985" s="1070" t="s">
        <v>20</v>
      </c>
      <c r="B985" s="760">
        <f>(F13+F60)/1000</f>
        <v>0.001</v>
      </c>
      <c r="C985" s="760">
        <f>F173/1000</f>
        <v>0.095</v>
      </c>
      <c r="D985" s="760">
        <f>F267/1000</f>
        <v>0.0005</v>
      </c>
      <c r="E985" s="760">
        <f>F359/1000</f>
        <v>0.0005</v>
      </c>
      <c r="F985" s="760">
        <f>F453/1000</f>
        <v>0.0005</v>
      </c>
      <c r="G985" s="760">
        <f>(F540+F484)/1000</f>
        <v>0.001</v>
      </c>
      <c r="H985" s="760">
        <f>F648/1000</f>
        <v>0.0005</v>
      </c>
      <c r="I985" s="760">
        <f>F739/1000</f>
        <v>0.0005</v>
      </c>
      <c r="J985" s="760">
        <f>F822/1000</f>
        <v>0.0005</v>
      </c>
      <c r="K985" s="760">
        <f>F914/1000</f>
        <v>0.0005</v>
      </c>
      <c r="L985" s="1357">
        <f t="shared" si="5"/>
        <v>0.1005</v>
      </c>
      <c r="M985" s="1362">
        <f t="shared" si="6"/>
        <v>0.01005</v>
      </c>
      <c r="N985" s="1357">
        <v>0.001</v>
      </c>
    </row>
    <row r="986" spans="1:14" ht="12.75">
      <c r="A986" s="1070" t="s">
        <v>215</v>
      </c>
      <c r="B986" s="77"/>
      <c r="C986" s="77">
        <f>F111/1000</f>
        <v>0.002</v>
      </c>
      <c r="D986" s="77"/>
      <c r="E986" s="77">
        <f>F301/1000</f>
        <v>0.0005</v>
      </c>
      <c r="F986" s="77"/>
      <c r="G986" s="77"/>
      <c r="H986" s="77">
        <f>F581/1000</f>
        <v>0.002</v>
      </c>
      <c r="I986" s="77"/>
      <c r="J986" s="77">
        <f>F764/1000</f>
        <v>0.0005</v>
      </c>
      <c r="K986" s="77"/>
      <c r="L986" s="1357">
        <f t="shared" si="5"/>
        <v>0.005000000000000001</v>
      </c>
      <c r="M986" s="1357">
        <f t="shared" si="6"/>
        <v>0.0005000000000000001</v>
      </c>
      <c r="N986" s="1357">
        <v>0.0012000000000000001</v>
      </c>
    </row>
    <row r="987" spans="1:14" ht="12.75">
      <c r="A987" s="1070" t="s">
        <v>134</v>
      </c>
      <c r="B987" s="77"/>
      <c r="C987" s="77"/>
      <c r="D987" s="77"/>
      <c r="E987" s="77"/>
      <c r="F987" s="77">
        <f>F451/1000</f>
        <v>0.0005</v>
      </c>
      <c r="G987" s="77"/>
      <c r="H987" s="77"/>
      <c r="I987" s="77"/>
      <c r="J987" s="77"/>
      <c r="K987" s="77">
        <f>F912/1000</f>
        <v>0.0005</v>
      </c>
      <c r="L987" s="1357">
        <f t="shared" si="5"/>
        <v>0.001</v>
      </c>
      <c r="M987" s="1362">
        <f t="shared" si="6"/>
        <v>0.0001</v>
      </c>
      <c r="N987" s="1357">
        <v>0.0005</v>
      </c>
    </row>
    <row r="988" spans="1:14" ht="12.75">
      <c r="A988" s="1070" t="s">
        <v>26</v>
      </c>
      <c r="B988" s="77">
        <f>F22/1000</f>
        <v>0.1</v>
      </c>
      <c r="C988" s="77">
        <f>F123/1000</f>
        <v>0.1</v>
      </c>
      <c r="D988" s="77">
        <f>F212/1000</f>
        <v>0.1</v>
      </c>
      <c r="E988" s="77">
        <f>F313/1000</f>
        <v>0.1</v>
      </c>
      <c r="F988" s="77">
        <f>F406/1000</f>
        <v>0.1</v>
      </c>
      <c r="G988" s="77">
        <f>F495/1000</f>
        <v>0.1</v>
      </c>
      <c r="H988" s="1360">
        <f>F593/1000</f>
        <v>0.1</v>
      </c>
      <c r="I988" s="77"/>
      <c r="J988" s="77">
        <f>F776/1000</f>
        <v>0.1</v>
      </c>
      <c r="K988" s="77">
        <f>F867/1000</f>
        <v>0.1</v>
      </c>
      <c r="L988" s="1357">
        <f t="shared" si="5"/>
        <v>0.8999999999999999</v>
      </c>
      <c r="M988" s="1357">
        <f t="shared" si="6"/>
        <v>0.09</v>
      </c>
      <c r="N988" s="1357">
        <v>0.1</v>
      </c>
    </row>
    <row r="989" spans="1:14" ht="12.75">
      <c r="A989" s="1070" t="s">
        <v>78</v>
      </c>
      <c r="B989" s="77"/>
      <c r="C989" s="77">
        <f>(F146/1000)</f>
        <v>0.002</v>
      </c>
      <c r="D989" s="77">
        <f>(F225+F259)/1000</f>
        <v>0.005</v>
      </c>
      <c r="E989" s="77">
        <f>F330/1000</f>
        <v>0.002</v>
      </c>
      <c r="F989" s="77"/>
      <c r="G989" s="77"/>
      <c r="H989" s="77">
        <f>F604/1000</f>
        <v>0.002</v>
      </c>
      <c r="I989" s="77"/>
      <c r="J989" s="77"/>
      <c r="K989" s="77"/>
      <c r="L989" s="1357">
        <f t="shared" si="5"/>
        <v>0.011000000000000001</v>
      </c>
      <c r="M989" s="1357">
        <f t="shared" si="6"/>
        <v>0.0011</v>
      </c>
      <c r="N989" s="1357"/>
    </row>
    <row r="990" spans="1:14" ht="12.75">
      <c r="A990" s="1070" t="s">
        <v>65</v>
      </c>
      <c r="B990" s="77"/>
      <c r="C990" s="77">
        <f>F116/1000</f>
        <v>0.005</v>
      </c>
      <c r="D990" s="77"/>
      <c r="E990" s="77">
        <f>F306/1000</f>
        <v>0.005</v>
      </c>
      <c r="F990" s="77"/>
      <c r="G990" s="77">
        <f>F536/1000</f>
        <v>0.01</v>
      </c>
      <c r="H990" s="77"/>
      <c r="I990" s="77"/>
      <c r="J990" s="77"/>
      <c r="K990" s="77">
        <f>F860/1000</f>
        <v>0.005</v>
      </c>
      <c r="L990" s="1357">
        <f t="shared" si="5"/>
        <v>0.025</v>
      </c>
      <c r="M990" s="1357">
        <f t="shared" si="6"/>
        <v>0.0025</v>
      </c>
      <c r="N990" s="1357">
        <v>0.004</v>
      </c>
    </row>
    <row r="991" spans="1:14" ht="13.5" thickBot="1">
      <c r="A991" s="1363" t="s">
        <v>127</v>
      </c>
      <c r="B991" s="1364"/>
      <c r="C991" s="1365"/>
      <c r="D991" s="1364">
        <f>F200/1000</f>
        <v>0.0005</v>
      </c>
      <c r="E991" s="1364"/>
      <c r="F991" s="1364"/>
      <c r="G991" s="818"/>
      <c r="H991" s="82">
        <f>F645/1000</f>
        <v>0.001</v>
      </c>
      <c r="I991" s="1364">
        <f>F672/1000</f>
        <v>0.0005</v>
      </c>
      <c r="J991" s="1364"/>
      <c r="K991" s="1364">
        <f>F855/1000</f>
        <v>0.002</v>
      </c>
      <c r="L991" s="1366">
        <f t="shared" si="5"/>
        <v>0.004</v>
      </c>
      <c r="M991" s="1366">
        <f t="shared" si="6"/>
        <v>0.0004</v>
      </c>
      <c r="N991" s="1366">
        <v>0.5</v>
      </c>
    </row>
    <row r="992" spans="1:14" ht="12.75">
      <c r="A992" s="286"/>
      <c r="B992" s="595"/>
      <c r="C992" s="1367"/>
      <c r="D992" s="595"/>
      <c r="E992" s="595"/>
      <c r="F992" s="595"/>
      <c r="G992" s="286"/>
      <c r="H992" s="270"/>
      <c r="I992" s="595"/>
      <c r="J992" s="595"/>
      <c r="K992" s="595"/>
      <c r="L992" s="270"/>
      <c r="M992" s="270"/>
      <c r="N992" s="270"/>
    </row>
    <row r="993" spans="1:14" ht="12.75">
      <c r="A993" s="286"/>
      <c r="B993" s="595"/>
      <c r="C993" s="1367"/>
      <c r="D993" s="595"/>
      <c r="E993" s="595"/>
      <c r="F993" s="595"/>
      <c r="G993" s="286"/>
      <c r="H993" s="270"/>
      <c r="I993" s="595"/>
      <c r="J993" s="595"/>
      <c r="K993" s="595"/>
      <c r="L993" s="270"/>
      <c r="M993" s="270"/>
      <c r="N993" s="270"/>
    </row>
    <row r="994" spans="1:14" ht="12.75">
      <c r="A994" s="286"/>
      <c r="B994" s="595"/>
      <c r="C994" s="1367"/>
      <c r="D994" s="595"/>
      <c r="E994" s="595"/>
      <c r="F994" s="595"/>
      <c r="G994" s="286"/>
      <c r="H994" s="270"/>
      <c r="I994" s="595"/>
      <c r="J994" s="595"/>
      <c r="K994" s="595"/>
      <c r="L994" s="270"/>
      <c r="M994" s="270"/>
      <c r="N994" s="270"/>
    </row>
    <row r="995" spans="1:14" ht="12.75">
      <c r="A995" s="286"/>
      <c r="B995" s="595"/>
      <c r="C995" s="1367"/>
      <c r="D995" s="595"/>
      <c r="E995" s="595"/>
      <c r="F995" s="595"/>
      <c r="G995" s="286"/>
      <c r="H995" s="270"/>
      <c r="I995" s="595"/>
      <c r="J995" s="595"/>
      <c r="K995" s="595"/>
      <c r="L995" s="270"/>
      <c r="M995" s="270"/>
      <c r="N995" s="270"/>
    </row>
    <row r="996" spans="1:14" ht="12.75">
      <c r="A996" s="286"/>
      <c r="B996" s="595"/>
      <c r="C996" s="1367"/>
      <c r="D996" s="595"/>
      <c r="E996" s="595"/>
      <c r="F996" s="595"/>
      <c r="G996" s="286"/>
      <c r="H996" s="270"/>
      <c r="I996" s="595"/>
      <c r="J996" s="595"/>
      <c r="K996" s="595"/>
      <c r="L996" s="270"/>
      <c r="M996" s="270"/>
      <c r="N996" s="270"/>
    </row>
    <row r="997" spans="1:14" ht="12.75">
      <c r="A997" s="286"/>
      <c r="B997" s="595"/>
      <c r="C997" s="1367"/>
      <c r="D997" s="595"/>
      <c r="E997" s="595"/>
      <c r="F997" s="595"/>
      <c r="G997" s="286"/>
      <c r="H997" s="270"/>
      <c r="I997" s="595"/>
      <c r="J997" s="595"/>
      <c r="K997" s="595"/>
      <c r="L997" s="270"/>
      <c r="M997" s="270"/>
      <c r="N997" s="270"/>
    </row>
    <row r="998" spans="1:14" ht="12.75">
      <c r="A998" s="286"/>
      <c r="B998" s="595"/>
      <c r="C998" s="1367"/>
      <c r="D998" s="595"/>
      <c r="E998" s="595"/>
      <c r="F998" s="595"/>
      <c r="G998" s="286"/>
      <c r="H998" s="270"/>
      <c r="I998" s="595"/>
      <c r="J998" s="595"/>
      <c r="K998" s="595"/>
      <c r="L998" s="270"/>
      <c r="M998" s="270"/>
      <c r="N998" s="270"/>
    </row>
    <row r="999" spans="1:14" ht="12.75">
      <c r="A999" s="286"/>
      <c r="B999" s="595"/>
      <c r="C999" s="1367"/>
      <c r="D999" s="595"/>
      <c r="E999" s="595"/>
      <c r="F999" s="595"/>
      <c r="G999" s="286"/>
      <c r="H999" s="270"/>
      <c r="I999" s="595"/>
      <c r="J999" s="595"/>
      <c r="K999" s="595"/>
      <c r="L999" s="270"/>
      <c r="M999" s="270"/>
      <c r="N999" s="270"/>
    </row>
    <row r="1000" spans="1:14" ht="12.75">
      <c r="A1000" s="286"/>
      <c r="B1000" s="595"/>
      <c r="C1000" s="1367"/>
      <c r="D1000" s="595"/>
      <c r="E1000" s="595"/>
      <c r="F1000" s="595"/>
      <c r="G1000" s="286"/>
      <c r="H1000" s="270"/>
      <c r="I1000" s="595"/>
      <c r="J1000" s="595"/>
      <c r="K1000" s="595"/>
      <c r="L1000" s="270"/>
      <c r="M1000" s="270"/>
      <c r="N1000" s="270"/>
    </row>
    <row r="1001" spans="1:14" ht="12.75">
      <c r="A1001" s="286"/>
      <c r="B1001" s="595"/>
      <c r="C1001" s="1367"/>
      <c r="D1001" s="595"/>
      <c r="E1001" s="595"/>
      <c r="F1001" s="595"/>
      <c r="G1001" s="286"/>
      <c r="H1001" s="270"/>
      <c r="I1001" s="595"/>
      <c r="J1001" s="595"/>
      <c r="K1001" s="595"/>
      <c r="L1001" s="270"/>
      <c r="M1001" s="270"/>
      <c r="N1001" s="270"/>
    </row>
    <row r="1002" spans="1:14" ht="12.75">
      <c r="A1002" s="286"/>
      <c r="B1002" s="595"/>
      <c r="C1002" s="1367"/>
      <c r="D1002" s="595"/>
      <c r="E1002" s="595"/>
      <c r="F1002" s="595"/>
      <c r="G1002" s="286"/>
      <c r="H1002" s="270"/>
      <c r="I1002" s="595"/>
      <c r="J1002" s="595"/>
      <c r="K1002" s="595"/>
      <c r="L1002" s="270"/>
      <c r="M1002" s="270"/>
      <c r="N1002" s="270"/>
    </row>
    <row r="1003" spans="1:14" ht="12.75">
      <c r="A1003" s="286"/>
      <c r="B1003" s="595"/>
      <c r="C1003" s="1367"/>
      <c r="D1003" s="595"/>
      <c r="E1003" s="595"/>
      <c r="F1003" s="595"/>
      <c r="G1003" s="286"/>
      <c r="H1003" s="270"/>
      <c r="I1003" s="595"/>
      <c r="J1003" s="595"/>
      <c r="K1003" s="595"/>
      <c r="L1003" s="270"/>
      <c r="M1003" s="270"/>
      <c r="N1003" s="270"/>
    </row>
    <row r="1004" spans="1:14" ht="12.75">
      <c r="A1004" s="286"/>
      <c r="B1004" s="595"/>
      <c r="C1004" s="1367"/>
      <c r="D1004" s="595"/>
      <c r="E1004" s="595"/>
      <c r="F1004" s="595"/>
      <c r="G1004" s="286"/>
      <c r="H1004" s="270"/>
      <c r="I1004" s="595"/>
      <c r="J1004" s="595"/>
      <c r="K1004" s="595"/>
      <c r="L1004" s="270"/>
      <c r="M1004" s="270"/>
      <c r="N1004" s="270"/>
    </row>
    <row r="1005" spans="1:14" ht="12.75">
      <c r="A1005" s="286"/>
      <c r="B1005" s="595"/>
      <c r="C1005" s="1367"/>
      <c r="D1005" s="595"/>
      <c r="E1005" s="595"/>
      <c r="F1005" s="595"/>
      <c r="G1005" s="286"/>
      <c r="H1005" s="270"/>
      <c r="I1005" s="595"/>
      <c r="J1005" s="595"/>
      <c r="K1005" s="595"/>
      <c r="L1005" s="270"/>
      <c r="M1005" s="270"/>
      <c r="N1005" s="270"/>
    </row>
    <row r="1006" spans="1:14" ht="12.75">
      <c r="A1006" s="286"/>
      <c r="B1006" s="595"/>
      <c r="C1006" s="1367"/>
      <c r="D1006" s="595"/>
      <c r="E1006" s="595"/>
      <c r="F1006" s="595"/>
      <c r="G1006" s="286"/>
      <c r="H1006" s="270"/>
      <c r="I1006" s="595"/>
      <c r="J1006" s="595"/>
      <c r="K1006" s="595"/>
      <c r="L1006" s="270"/>
      <c r="M1006" s="270"/>
      <c r="N1006" s="270"/>
    </row>
    <row r="1007" spans="1:14" ht="12.75">
      <c r="A1007" s="286"/>
      <c r="B1007" s="595"/>
      <c r="C1007" s="1367"/>
      <c r="D1007" s="595"/>
      <c r="E1007" s="595"/>
      <c r="F1007" s="595"/>
      <c r="G1007" s="286"/>
      <c r="H1007" s="270"/>
      <c r="I1007" s="595"/>
      <c r="J1007" s="595"/>
      <c r="K1007" s="595"/>
      <c r="L1007" s="270"/>
      <c r="M1007" s="270"/>
      <c r="N1007" s="270"/>
    </row>
    <row r="1008" spans="1:14" ht="12.75">
      <c r="A1008" s="286"/>
      <c r="B1008" s="595"/>
      <c r="C1008" s="1367"/>
      <c r="D1008" s="595"/>
      <c r="E1008" s="595"/>
      <c r="F1008" s="595"/>
      <c r="G1008" s="286"/>
      <c r="H1008" s="270"/>
      <c r="I1008" s="595"/>
      <c r="J1008" s="595"/>
      <c r="K1008" s="595"/>
      <c r="L1008" s="270"/>
      <c r="M1008" s="270"/>
      <c r="N1008" s="270"/>
    </row>
    <row r="1009" spans="1:14" ht="12.75">
      <c r="A1009" s="286"/>
      <c r="B1009" s="595"/>
      <c r="C1009" s="1367"/>
      <c r="D1009" s="595"/>
      <c r="E1009" s="595"/>
      <c r="F1009" s="595"/>
      <c r="G1009" s="286"/>
      <c r="H1009" s="270"/>
      <c r="I1009" s="595"/>
      <c r="J1009" s="595"/>
      <c r="K1009" s="595"/>
      <c r="L1009" s="270"/>
      <c r="M1009" s="270"/>
      <c r="N1009" s="270"/>
    </row>
    <row r="1010" spans="1:14" ht="12.75">
      <c r="A1010" s="286"/>
      <c r="B1010" s="595"/>
      <c r="C1010" s="1367"/>
      <c r="D1010" s="595"/>
      <c r="E1010" s="595"/>
      <c r="F1010" s="595"/>
      <c r="G1010" s="286"/>
      <c r="H1010" s="270"/>
      <c r="I1010" s="595"/>
      <c r="J1010" s="595"/>
      <c r="K1010" s="595"/>
      <c r="L1010" s="270"/>
      <c r="M1010" s="270"/>
      <c r="N1010" s="270"/>
    </row>
    <row r="1011" spans="1:14" ht="12.75">
      <c r="A1011" s="286"/>
      <c r="B1011" s="595"/>
      <c r="C1011" s="1367"/>
      <c r="D1011" s="595"/>
      <c r="E1011" s="595"/>
      <c r="F1011" s="595"/>
      <c r="G1011" s="286"/>
      <c r="H1011" s="270"/>
      <c r="I1011" s="595"/>
      <c r="J1011" s="595"/>
      <c r="K1011" s="595"/>
      <c r="L1011" s="270"/>
      <c r="M1011" s="270"/>
      <c r="N1011" s="270"/>
    </row>
    <row r="1012" spans="1:14" ht="12.75">
      <c r="A1012" s="286"/>
      <c r="B1012" s="595"/>
      <c r="C1012" s="1367"/>
      <c r="D1012" s="595"/>
      <c r="E1012" s="595"/>
      <c r="F1012" s="595"/>
      <c r="G1012" s="286"/>
      <c r="H1012" s="270"/>
      <c r="I1012" s="595"/>
      <c r="J1012" s="595"/>
      <c r="K1012" s="595"/>
      <c r="L1012" s="270"/>
      <c r="M1012" s="270"/>
      <c r="N1012" s="270"/>
    </row>
    <row r="1013" spans="1:14" ht="12.75">
      <c r="A1013" s="286"/>
      <c r="B1013" s="595"/>
      <c r="C1013" s="1367"/>
      <c r="D1013" s="595"/>
      <c r="E1013" s="595"/>
      <c r="F1013" s="595"/>
      <c r="G1013" s="286"/>
      <c r="H1013" s="270"/>
      <c r="I1013" s="595"/>
      <c r="J1013" s="595"/>
      <c r="K1013" s="595"/>
      <c r="L1013" s="270"/>
      <c r="M1013" s="270"/>
      <c r="N1013" s="270"/>
    </row>
    <row r="1014" spans="1:14" ht="12.75">
      <c r="A1014" s="286"/>
      <c r="B1014" s="595"/>
      <c r="C1014" s="1367"/>
      <c r="D1014" s="595"/>
      <c r="E1014" s="595"/>
      <c r="F1014" s="595"/>
      <c r="G1014" s="286"/>
      <c r="H1014" s="270"/>
      <c r="I1014" s="595"/>
      <c r="J1014" s="595"/>
      <c r="K1014" s="595"/>
      <c r="L1014" s="270"/>
      <c r="M1014" s="270"/>
      <c r="N1014" s="270"/>
    </row>
    <row r="1015" spans="1:14" ht="12.75">
      <c r="A1015" s="286"/>
      <c r="B1015" s="595"/>
      <c r="C1015" s="1367"/>
      <c r="D1015" s="595"/>
      <c r="E1015" s="595"/>
      <c r="F1015" s="595"/>
      <c r="G1015" s="286"/>
      <c r="H1015" s="270"/>
      <c r="I1015" s="595"/>
      <c r="J1015" s="595"/>
      <c r="K1015" s="595"/>
      <c r="L1015" s="270"/>
      <c r="M1015" s="270"/>
      <c r="N1015" s="270"/>
    </row>
    <row r="1016" spans="1:14" ht="12.75">
      <c r="A1016" s="286"/>
      <c r="B1016" s="595"/>
      <c r="C1016" s="1367"/>
      <c r="D1016" s="595"/>
      <c r="E1016" s="595"/>
      <c r="F1016" s="595"/>
      <c r="G1016" s="286"/>
      <c r="H1016" s="270"/>
      <c r="I1016" s="595"/>
      <c r="J1016" s="595"/>
      <c r="K1016" s="595"/>
      <c r="L1016" s="270"/>
      <c r="M1016" s="270"/>
      <c r="N1016" s="270"/>
    </row>
    <row r="1017" spans="1:14" ht="12.75">
      <c r="A1017" s="286"/>
      <c r="B1017" s="595"/>
      <c r="C1017" s="1367"/>
      <c r="D1017" s="595"/>
      <c r="E1017" s="595"/>
      <c r="F1017" s="595"/>
      <c r="G1017" s="286"/>
      <c r="H1017" s="270"/>
      <c r="I1017" s="595"/>
      <c r="J1017" s="595"/>
      <c r="K1017" s="595"/>
      <c r="L1017" s="270"/>
      <c r="M1017" s="270"/>
      <c r="N1017" s="270"/>
    </row>
    <row r="1018" spans="1:14" ht="12.75">
      <c r="A1018" s="286"/>
      <c r="B1018" s="595"/>
      <c r="C1018" s="1367"/>
      <c r="D1018" s="595"/>
      <c r="E1018" s="595"/>
      <c r="F1018" s="595"/>
      <c r="G1018" s="286"/>
      <c r="H1018" s="270"/>
      <c r="I1018" s="595"/>
      <c r="J1018" s="595"/>
      <c r="K1018" s="595"/>
      <c r="L1018" s="270"/>
      <c r="M1018" s="270"/>
      <c r="N1018" s="270"/>
    </row>
    <row r="1019" spans="1:14" ht="12.75">
      <c r="A1019" s="286"/>
      <c r="B1019" s="595"/>
      <c r="C1019" s="1367"/>
      <c r="D1019" s="595"/>
      <c r="E1019" s="595"/>
      <c r="F1019" s="595"/>
      <c r="G1019" s="286"/>
      <c r="H1019" s="270"/>
      <c r="I1019" s="595"/>
      <c r="J1019" s="595"/>
      <c r="K1019" s="595"/>
      <c r="L1019" s="270"/>
      <c r="M1019" s="270"/>
      <c r="N1019" s="270"/>
    </row>
    <row r="1020" spans="1:14" ht="12.75">
      <c r="A1020" s="286"/>
      <c r="B1020" s="595"/>
      <c r="C1020" s="1367"/>
      <c r="D1020" s="595"/>
      <c r="E1020" s="595"/>
      <c r="F1020" s="595"/>
      <c r="G1020" s="286"/>
      <c r="H1020" s="270"/>
      <c r="I1020" s="595"/>
      <c r="J1020" s="595"/>
      <c r="K1020" s="595"/>
      <c r="L1020" s="270"/>
      <c r="M1020" s="270"/>
      <c r="N1020" s="270"/>
    </row>
    <row r="1021" spans="1:14" ht="12.75">
      <c r="A1021" s="286"/>
      <c r="B1021" s="595"/>
      <c r="C1021" s="1367"/>
      <c r="D1021" s="595"/>
      <c r="E1021" s="595"/>
      <c r="F1021" s="595"/>
      <c r="G1021" s="286"/>
      <c r="H1021" s="270"/>
      <c r="I1021" s="595"/>
      <c r="J1021" s="595"/>
      <c r="K1021" s="595"/>
      <c r="L1021" s="270"/>
      <c r="M1021" s="270"/>
      <c r="N1021" s="270"/>
    </row>
    <row r="1022" spans="1:14" ht="12.75">
      <c r="A1022" s="286"/>
      <c r="B1022" s="595"/>
      <c r="C1022" s="1367"/>
      <c r="D1022" s="595"/>
      <c r="E1022" s="595"/>
      <c r="F1022" s="595"/>
      <c r="G1022" s="286"/>
      <c r="H1022" s="270"/>
      <c r="I1022" s="595"/>
      <c r="J1022" s="595"/>
      <c r="K1022" s="595"/>
      <c r="L1022" s="270"/>
      <c r="M1022" s="270"/>
      <c r="N1022" s="270"/>
    </row>
    <row r="1023" spans="1:14" ht="12.75">
      <c r="A1023" s="286"/>
      <c r="B1023" s="595"/>
      <c r="C1023" s="1367"/>
      <c r="D1023" s="595"/>
      <c r="E1023" s="595"/>
      <c r="F1023" s="595"/>
      <c r="G1023" s="286"/>
      <c r="H1023" s="270"/>
      <c r="I1023" s="595"/>
      <c r="J1023" s="595"/>
      <c r="K1023" s="595"/>
      <c r="L1023" s="270"/>
      <c r="M1023" s="270"/>
      <c r="N1023" s="270"/>
    </row>
    <row r="1024" spans="1:14" ht="12.75">
      <c r="A1024" s="286"/>
      <c r="B1024" s="595"/>
      <c r="C1024" s="1367"/>
      <c r="D1024" s="595"/>
      <c r="E1024" s="595"/>
      <c r="F1024" s="595"/>
      <c r="G1024" s="286"/>
      <c r="H1024" s="270"/>
      <c r="I1024" s="595"/>
      <c r="J1024" s="595"/>
      <c r="K1024" s="595"/>
      <c r="L1024" s="270"/>
      <c r="M1024" s="270"/>
      <c r="N1024" s="270"/>
    </row>
    <row r="1025" spans="1:14" ht="12.75">
      <c r="A1025" s="286"/>
      <c r="B1025" s="595"/>
      <c r="C1025" s="1367"/>
      <c r="D1025" s="595"/>
      <c r="E1025" s="595"/>
      <c r="F1025" s="595"/>
      <c r="G1025" s="286"/>
      <c r="H1025" s="270"/>
      <c r="I1025" s="595"/>
      <c r="J1025" s="595"/>
      <c r="K1025" s="595"/>
      <c r="L1025" s="270"/>
      <c r="M1025" s="270"/>
      <c r="N1025" s="270"/>
    </row>
    <row r="1026" spans="1:14" ht="12.75">
      <c r="A1026" s="286"/>
      <c r="B1026" s="595"/>
      <c r="C1026" s="1367"/>
      <c r="D1026" s="595"/>
      <c r="E1026" s="595"/>
      <c r="F1026" s="595"/>
      <c r="G1026" s="286"/>
      <c r="H1026" s="270"/>
      <c r="I1026" s="595"/>
      <c r="J1026" s="595"/>
      <c r="K1026" s="595"/>
      <c r="L1026" s="270"/>
      <c r="M1026" s="270"/>
      <c r="N1026" s="270"/>
    </row>
    <row r="1027" spans="1:14" ht="12.75">
      <c r="A1027" s="286"/>
      <c r="B1027" s="595"/>
      <c r="C1027" s="1367"/>
      <c r="D1027" s="595"/>
      <c r="E1027" s="595"/>
      <c r="F1027" s="595"/>
      <c r="G1027" s="286"/>
      <c r="H1027" s="270"/>
      <c r="I1027" s="595"/>
      <c r="J1027" s="595"/>
      <c r="K1027" s="595"/>
      <c r="L1027" s="270"/>
      <c r="M1027" s="270"/>
      <c r="N1027" s="270"/>
    </row>
    <row r="1028" spans="1:14" ht="12.75">
      <c r="A1028" s="286"/>
      <c r="B1028" s="595"/>
      <c r="C1028" s="1367"/>
      <c r="D1028" s="595"/>
      <c r="E1028" s="595"/>
      <c r="F1028" s="595"/>
      <c r="G1028" s="286"/>
      <c r="H1028" s="270"/>
      <c r="I1028" s="595"/>
      <c r="J1028" s="595"/>
      <c r="K1028" s="595"/>
      <c r="L1028" s="270"/>
      <c r="M1028" s="270"/>
      <c r="N1028" s="270"/>
    </row>
    <row r="1029" spans="1:14" ht="12.75">
      <c r="A1029" s="286"/>
      <c r="B1029" s="595"/>
      <c r="C1029" s="1367"/>
      <c r="D1029" s="595"/>
      <c r="E1029" s="595"/>
      <c r="F1029" s="595"/>
      <c r="G1029" s="286"/>
      <c r="H1029" s="270"/>
      <c r="I1029" s="595"/>
      <c r="J1029" s="595"/>
      <c r="K1029" s="595"/>
      <c r="L1029" s="270"/>
      <c r="M1029" s="270"/>
      <c r="N1029" s="270"/>
    </row>
    <row r="1030" spans="1:14" ht="12.75">
      <c r="A1030" s="286"/>
      <c r="B1030" s="595"/>
      <c r="C1030" s="1367"/>
      <c r="D1030" s="595"/>
      <c r="E1030" s="595"/>
      <c r="F1030" s="595"/>
      <c r="G1030" s="286"/>
      <c r="H1030" s="270"/>
      <c r="I1030" s="595"/>
      <c r="J1030" s="595"/>
      <c r="K1030" s="595"/>
      <c r="L1030" s="270"/>
      <c r="M1030" s="270"/>
      <c r="N1030" s="270"/>
    </row>
    <row r="1031" spans="1:14" ht="12.75">
      <c r="A1031" s="286"/>
      <c r="B1031" s="595"/>
      <c r="C1031" s="1367"/>
      <c r="D1031" s="595"/>
      <c r="E1031" s="595"/>
      <c r="F1031" s="595"/>
      <c r="G1031" s="286"/>
      <c r="H1031" s="270"/>
      <c r="I1031" s="595"/>
      <c r="J1031" s="595"/>
      <c r="K1031" s="595"/>
      <c r="L1031" s="270"/>
      <c r="M1031" s="270"/>
      <c r="N1031" s="270"/>
    </row>
    <row r="1032" spans="1:14" ht="12.75">
      <c r="A1032" s="286"/>
      <c r="B1032" s="595"/>
      <c r="C1032" s="1367"/>
      <c r="D1032" s="595"/>
      <c r="E1032" s="595"/>
      <c r="F1032" s="595"/>
      <c r="G1032" s="286"/>
      <c r="H1032" s="270"/>
      <c r="I1032" s="595"/>
      <c r="J1032" s="595"/>
      <c r="K1032" s="595"/>
      <c r="L1032" s="270"/>
      <c r="M1032" s="270"/>
      <c r="N1032" s="270"/>
    </row>
    <row r="1036" ht="15.75">
      <c r="A1036" s="1309" t="s">
        <v>216</v>
      </c>
    </row>
    <row r="1037" ht="13.5" thickBot="1"/>
    <row r="1038" spans="1:9" ht="18.75" thickBot="1">
      <c r="A1038" s="1368" t="s">
        <v>201</v>
      </c>
      <c r="B1038" s="1368" t="s">
        <v>217</v>
      </c>
      <c r="C1038" s="1368" t="s">
        <v>218</v>
      </c>
      <c r="D1038" s="1368" t="s">
        <v>219</v>
      </c>
      <c r="E1038" s="1368" t="s">
        <v>220</v>
      </c>
      <c r="F1038" s="1368" t="s">
        <v>221</v>
      </c>
      <c r="G1038" s="1369"/>
      <c r="H1038" s="1369"/>
      <c r="I1038" s="1370"/>
    </row>
    <row r="1039" spans="1:9" ht="12.75">
      <c r="A1039" s="1070" t="s">
        <v>48</v>
      </c>
      <c r="B1039" s="78">
        <f>(L963*0.16)</f>
        <v>0.064</v>
      </c>
      <c r="C1039" s="77">
        <f>L963*0.06</f>
        <v>0.024</v>
      </c>
      <c r="D1039" s="78"/>
      <c r="E1039" s="78">
        <f>L963*23</f>
        <v>9.200000000000001</v>
      </c>
      <c r="F1039" s="78">
        <f>L963*2</f>
        <v>0.8</v>
      </c>
      <c r="G1039" s="78"/>
      <c r="H1039" s="78"/>
      <c r="I1039" s="762"/>
    </row>
    <row r="1040" spans="1:9" ht="12.75">
      <c r="A1040" s="1070" t="s">
        <v>41</v>
      </c>
      <c r="B1040" s="78">
        <f>L964*0.18</f>
        <v>0.054000000000000006</v>
      </c>
      <c r="C1040" s="77">
        <f>L964*0.08</f>
        <v>0.024000000000000004</v>
      </c>
      <c r="D1040" s="78"/>
      <c r="E1040" s="78">
        <f>L964*35</f>
        <v>10.500000000000002</v>
      </c>
      <c r="F1040" s="78">
        <f>L964*3.9</f>
        <v>1.1700000000000002</v>
      </c>
      <c r="G1040" s="78"/>
      <c r="H1040" s="78"/>
      <c r="I1040" s="762"/>
    </row>
    <row r="1041" spans="1:9" ht="12.75">
      <c r="A1041" s="1070" t="s">
        <v>205</v>
      </c>
      <c r="B1041" s="78">
        <f>L965*0.17</f>
        <v>0.02176</v>
      </c>
      <c r="C1041" s="77">
        <f>L965*0.04</f>
        <v>0.00512</v>
      </c>
      <c r="D1041" s="78"/>
      <c r="E1041" s="78">
        <f>L965*18</f>
        <v>2.3040000000000003</v>
      </c>
      <c r="F1041" s="78">
        <f>L965*1.2</f>
        <v>0.1536</v>
      </c>
      <c r="G1041" s="78"/>
      <c r="H1041" s="78"/>
      <c r="I1041" s="762"/>
    </row>
    <row r="1042" spans="1:9" ht="12.75">
      <c r="A1042" s="1070" t="s">
        <v>222</v>
      </c>
      <c r="B1042" s="78">
        <f>(F8+F355+F638+F667+F819)/1000*0.3</f>
        <v>0.06390600000000002</v>
      </c>
      <c r="C1042" s="77">
        <f>(F8+F355+F638+F667+F819)/1000*0.1</f>
        <v>0.021302</v>
      </c>
      <c r="D1042" s="78"/>
      <c r="E1042" s="78">
        <f>(F8+F355+F638+F667+F819)/1000*40</f>
        <v>8.520800000000001</v>
      </c>
      <c r="F1042" s="78">
        <f>(F8+F355+F638+F667+F819)/1000*4.4</f>
        <v>0.9372880000000001</v>
      </c>
      <c r="G1042" s="78"/>
      <c r="H1042" s="78"/>
      <c r="I1042" s="762"/>
    </row>
    <row r="1043" spans="1:9" ht="12.75">
      <c r="A1043" s="1070" t="s">
        <v>60</v>
      </c>
      <c r="B1043" s="77">
        <f>(F389+F578)/1000*0.42</f>
        <v>0.012599999999999998</v>
      </c>
      <c r="C1043" s="77">
        <f>(F389+F578)/1000*0.04</f>
        <v>0.0012</v>
      </c>
      <c r="D1043" s="78"/>
      <c r="E1043" s="78">
        <f>(F389+F578)/1000*27</f>
        <v>0.8099999999999999</v>
      </c>
      <c r="F1043" s="78">
        <f>(F389+F578)/1000*9</f>
        <v>0.27</v>
      </c>
      <c r="G1043" s="78"/>
      <c r="H1043" s="78"/>
      <c r="I1043" s="762"/>
    </row>
    <row r="1044" spans="1:9" ht="12.75">
      <c r="A1044" s="1070" t="s">
        <v>223</v>
      </c>
      <c r="B1044" s="77">
        <f>(F108+F784)/1000*0.45</f>
        <v>0.009000000000000001</v>
      </c>
      <c r="C1044" s="77">
        <f>(F108+F784)/1000*0.1</f>
        <v>0.002</v>
      </c>
      <c r="D1044" s="78"/>
      <c r="E1044" s="78">
        <f>(F108+F784)/1000*52</f>
        <v>1.04</v>
      </c>
      <c r="F1044" s="78">
        <f>(F108+F784)/1000*3.6</f>
        <v>0.07200000000000001</v>
      </c>
      <c r="G1044" s="78"/>
      <c r="H1044" s="78"/>
      <c r="I1044" s="762"/>
    </row>
    <row r="1045" spans="1:9" ht="12.75">
      <c r="A1045" s="1070" t="s">
        <v>224</v>
      </c>
      <c r="B1045" s="77">
        <f>F785/1000*0.12</f>
        <v>0.00504</v>
      </c>
      <c r="C1045" s="77">
        <f>F785/1000*0.06</f>
        <v>0.00252</v>
      </c>
      <c r="D1045" s="78"/>
      <c r="E1045" s="78">
        <f>38*F785/1000</f>
        <v>1.596</v>
      </c>
      <c r="F1045" s="78">
        <f>7.8*F785/1000</f>
        <v>0.32759999999999995</v>
      </c>
      <c r="G1045" s="78"/>
      <c r="H1045" s="78"/>
      <c r="I1045" s="762"/>
    </row>
    <row r="1046" spans="1:9" ht="12.75">
      <c r="A1046" s="1070" t="s">
        <v>176</v>
      </c>
      <c r="B1046" s="77">
        <f>(F298)/1000*0.3</f>
        <v>0.0045000000000000005</v>
      </c>
      <c r="C1046" s="77">
        <f>(F298)/1000*0.14</f>
        <v>0.0021000000000000003</v>
      </c>
      <c r="D1046" s="78"/>
      <c r="E1046" s="78">
        <f>(90)/1000*70</f>
        <v>6.3</v>
      </c>
      <c r="F1046" s="78">
        <f>90/1000*8.3</f>
        <v>0.747</v>
      </c>
      <c r="G1046" s="78"/>
      <c r="H1046" s="78"/>
      <c r="I1046" s="762"/>
    </row>
    <row r="1047" spans="1:9" ht="12.75">
      <c r="A1047" s="1070" t="s">
        <v>92</v>
      </c>
      <c r="B1047" s="77" t="e">
        <f>(#REF!+F852)/1000*0.08</f>
        <v>#REF!</v>
      </c>
      <c r="C1047" s="77" t="e">
        <f>(#REF!+F852)/1000*0.04</f>
        <v>#REF!</v>
      </c>
      <c r="D1047" s="78"/>
      <c r="E1047" s="78" t="e">
        <f>(#REF!+F852)/1000*8</f>
        <v>#REF!</v>
      </c>
      <c r="F1047" s="78" t="e">
        <f>(#REF!+F852)/1000*1</f>
        <v>#REF!</v>
      </c>
      <c r="G1047" s="78"/>
      <c r="H1047" s="78"/>
      <c r="I1047" s="762"/>
    </row>
    <row r="1048" spans="1:9" ht="12.75">
      <c r="A1048" s="1070" t="s">
        <v>102</v>
      </c>
      <c r="B1048" s="77">
        <f>L967*0.17</f>
        <v>0.01649</v>
      </c>
      <c r="C1048" s="77">
        <f>L967*0.04</f>
        <v>0.00388</v>
      </c>
      <c r="D1048" s="78"/>
      <c r="E1048" s="78">
        <f>L967*19</f>
        <v>1.843</v>
      </c>
      <c r="F1048" s="78">
        <f>L967*1.6</f>
        <v>0.1552</v>
      </c>
      <c r="G1048" s="78"/>
      <c r="H1048" s="78"/>
      <c r="I1048" s="762"/>
    </row>
    <row r="1049" spans="1:9" ht="12.75">
      <c r="A1049" s="1070" t="s">
        <v>32</v>
      </c>
      <c r="B1049" s="77">
        <f>L968*0.12</f>
        <v>0.10704</v>
      </c>
      <c r="C1049" s="77">
        <f>L968*0.07</f>
        <v>0.06244000000000001</v>
      </c>
      <c r="D1049" s="78">
        <f>L968*7</f>
        <v>6.244</v>
      </c>
      <c r="E1049" s="78">
        <f>L968*10</f>
        <v>8.92</v>
      </c>
      <c r="F1049" s="78">
        <f>L968*0.9</f>
        <v>0.8028000000000001</v>
      </c>
      <c r="G1049" s="78"/>
      <c r="H1049" s="78"/>
      <c r="I1049" s="762"/>
    </row>
    <row r="1050" spans="1:9" ht="12.75">
      <c r="A1050" s="1070" t="s">
        <v>34</v>
      </c>
      <c r="B1050" s="77">
        <f>G1050/1000*0.06</f>
        <v>0.0192</v>
      </c>
      <c r="C1050" s="77">
        <f>G1050/1000*0.07</f>
        <v>0.022400000000000003</v>
      </c>
      <c r="D1050" s="77">
        <f>261/1000*5</f>
        <v>1.3050000000000002</v>
      </c>
      <c r="E1050" s="77">
        <f>261/1000*27</f>
        <v>7.047000000000001</v>
      </c>
      <c r="F1050" s="77">
        <f>261/1000*0.7</f>
        <v>0.18270000000000003</v>
      </c>
      <c r="G1050" s="78">
        <v>320</v>
      </c>
      <c r="H1050" s="78"/>
      <c r="I1050" s="762"/>
    </row>
    <row r="1051" spans="1:9" ht="12.75">
      <c r="A1051" s="1070" t="s">
        <v>97</v>
      </c>
      <c r="B1051" s="77">
        <f>110/1000*0.02</f>
        <v>0.0022</v>
      </c>
      <c r="C1051" s="77">
        <f>110/1000*0.04</f>
        <v>0.0044</v>
      </c>
      <c r="D1051" s="78">
        <f>110/1000*10</f>
        <v>1.1</v>
      </c>
      <c r="E1051" s="78">
        <f>110/1000*37</f>
        <v>4.07</v>
      </c>
      <c r="F1051" s="78">
        <f>110/1000*1.4</f>
        <v>0.154</v>
      </c>
      <c r="G1051" s="78">
        <f>F606</f>
        <v>0</v>
      </c>
      <c r="H1051" s="78"/>
      <c r="I1051" s="762"/>
    </row>
    <row r="1052" spans="1:9" ht="12.75">
      <c r="A1052" s="1070" t="s">
        <v>33</v>
      </c>
      <c r="B1052" s="77">
        <f>(253)/1000*0.05</f>
        <v>0.012650000000000002</v>
      </c>
      <c r="C1052" s="77">
        <f>253/1000*0.02</f>
        <v>0.00506</v>
      </c>
      <c r="D1052" s="78">
        <f>253/1000*10</f>
        <v>2.5300000000000002</v>
      </c>
      <c r="E1052" s="78">
        <f>253/1000*31</f>
        <v>7.843</v>
      </c>
      <c r="F1052" s="78">
        <f>253/1000*0.8</f>
        <v>0.20240000000000002</v>
      </c>
      <c r="G1052" s="1464">
        <v>340</v>
      </c>
      <c r="H1052" s="78"/>
      <c r="I1052" s="762"/>
    </row>
    <row r="1053" spans="1:9" ht="12.75">
      <c r="A1053" s="1070" t="s">
        <v>38</v>
      </c>
      <c r="B1053" s="77">
        <f>(225)/1000*0.03</f>
        <v>0.00675</v>
      </c>
      <c r="C1053" s="77">
        <f>225/1000*0.04</f>
        <v>0.009000000000000001</v>
      </c>
      <c r="D1053" s="78">
        <f>225/1000*45</f>
        <v>10.125</v>
      </c>
      <c r="E1053" s="78">
        <f>225/1000*48</f>
        <v>10.8</v>
      </c>
      <c r="F1053" s="78">
        <f>225/1000*0.6</f>
        <v>0.13500000000000004</v>
      </c>
      <c r="G1053" s="78">
        <v>120</v>
      </c>
      <c r="H1053" s="78"/>
      <c r="I1053" s="762"/>
    </row>
    <row r="1054" spans="1:9" ht="12.75">
      <c r="A1054" s="1070" t="s">
        <v>133</v>
      </c>
      <c r="B1054" s="77">
        <f>25/1000*0.03</f>
        <v>0.00075</v>
      </c>
      <c r="C1054" s="77">
        <f>25/1000*0.02</f>
        <v>0.0005</v>
      </c>
      <c r="D1054" s="78">
        <f>25/1000*10</f>
        <v>0.25</v>
      </c>
      <c r="E1054" s="78">
        <f>25/1000*16</f>
        <v>0.4</v>
      </c>
      <c r="F1054" s="78">
        <f>25/1000*2.2</f>
        <v>0.05500000000000001</v>
      </c>
      <c r="G1054" s="78">
        <f>F63+F650</f>
        <v>0</v>
      </c>
      <c r="H1054" s="78"/>
      <c r="I1054" s="762"/>
    </row>
    <row r="1055" spans="1:9" ht="12.75">
      <c r="A1055" s="1070" t="s">
        <v>225</v>
      </c>
      <c r="B1055" s="77">
        <f>90/1000*0.02</f>
        <v>0.0018</v>
      </c>
      <c r="C1055" s="77">
        <f>90/1000*0.03</f>
        <v>0.0026999999999999997</v>
      </c>
      <c r="D1055" s="77">
        <f>90/1000*0.1</f>
        <v>0.009</v>
      </c>
      <c r="E1055" s="78">
        <f>90/1000*5</f>
        <v>0.44999999999999996</v>
      </c>
      <c r="F1055" s="78">
        <f>90/1000*2.3</f>
        <v>0.207</v>
      </c>
      <c r="G1055" s="78">
        <f>F455</f>
        <v>100</v>
      </c>
      <c r="H1055" s="78"/>
      <c r="I1055" s="762"/>
    </row>
    <row r="1056" spans="1:9" ht="12.75">
      <c r="A1056" s="1070" t="s">
        <v>226</v>
      </c>
      <c r="B1056" s="77"/>
      <c r="C1056" s="77"/>
      <c r="D1056" s="78"/>
      <c r="E1056" s="78"/>
      <c r="F1056" s="78"/>
      <c r="G1056" s="78">
        <f>F542</f>
        <v>0</v>
      </c>
      <c r="H1056" s="78"/>
      <c r="I1056" s="762"/>
    </row>
    <row r="1057" spans="1:9" ht="12.75">
      <c r="A1057" s="1070" t="s">
        <v>227</v>
      </c>
      <c r="B1057" s="77"/>
      <c r="C1057" s="77"/>
      <c r="D1057" s="78"/>
      <c r="E1057" s="78"/>
      <c r="F1057" s="78"/>
      <c r="G1057" s="78">
        <f>F916+F312</f>
        <v>100</v>
      </c>
      <c r="H1057" s="78"/>
      <c r="I1057" s="762"/>
    </row>
    <row r="1058" spans="1:9" ht="12.75">
      <c r="A1058" s="1070" t="s">
        <v>17</v>
      </c>
      <c r="B1058" s="77"/>
      <c r="C1058" s="77"/>
      <c r="D1058" s="78"/>
      <c r="E1058" s="78"/>
      <c r="F1058" s="78">
        <f>L973*0.3</f>
        <v>0.1188</v>
      </c>
      <c r="G1058" s="78"/>
      <c r="H1058" s="78"/>
      <c r="I1058" s="762"/>
    </row>
    <row r="1059" spans="1:9" ht="12.75">
      <c r="A1059" s="1070" t="s">
        <v>37</v>
      </c>
      <c r="B1059" s="77"/>
      <c r="C1059" s="77"/>
      <c r="D1059" s="78"/>
      <c r="E1059" s="78"/>
      <c r="F1059" s="78"/>
      <c r="G1059" s="78"/>
      <c r="H1059" s="78"/>
      <c r="I1059" s="762"/>
    </row>
    <row r="1060" spans="1:9" ht="12.75">
      <c r="A1060" s="1070" t="s">
        <v>16</v>
      </c>
      <c r="B1060" s="77"/>
      <c r="C1060" s="77">
        <f>L975*0.1</f>
        <v>0.0144</v>
      </c>
      <c r="D1060" s="78"/>
      <c r="E1060" s="78">
        <f>L975*12</f>
        <v>1.7279999999999998</v>
      </c>
      <c r="F1060" s="78">
        <f>L975*0.2</f>
        <v>0.0288</v>
      </c>
      <c r="G1060" s="78"/>
      <c r="H1060" s="78"/>
      <c r="I1060" s="762"/>
    </row>
    <row r="1061" spans="1:9" ht="12.75">
      <c r="A1061" s="1070" t="s">
        <v>46</v>
      </c>
      <c r="B1061" s="77">
        <f>L976*0.07</f>
        <v>0.012810000000000005</v>
      </c>
      <c r="C1061" s="77">
        <f>0.44*L976</f>
        <v>0.08052000000000002</v>
      </c>
      <c r="D1061" s="78"/>
      <c r="E1061" s="78">
        <f>L976*55</f>
        <v>10.065000000000003</v>
      </c>
      <c r="F1061" s="78">
        <f>L976*2.5</f>
        <v>0.45750000000000013</v>
      </c>
      <c r="G1061" s="78"/>
      <c r="H1061" s="78"/>
      <c r="I1061" s="762"/>
    </row>
    <row r="1062" spans="1:9" ht="12.75">
      <c r="A1062" s="1070" t="s">
        <v>211</v>
      </c>
      <c r="B1062" s="77">
        <f>3.56*0.04</f>
        <v>0.1424</v>
      </c>
      <c r="C1062" s="77">
        <f>3.56*0.15</f>
        <v>0.534</v>
      </c>
      <c r="D1062" s="78">
        <f>3.56*1.3</f>
        <v>4.628</v>
      </c>
      <c r="E1062" s="78">
        <f>120*3.56</f>
        <v>427.2</v>
      </c>
      <c r="F1062" s="78">
        <f>0.1*3.56</f>
        <v>0.35600000000000004</v>
      </c>
      <c r="G1062" s="78"/>
      <c r="H1062" s="78"/>
      <c r="I1062" s="762"/>
    </row>
    <row r="1063" spans="1:9" ht="12.75">
      <c r="A1063" s="1070" t="s">
        <v>212</v>
      </c>
      <c r="B1063" s="77">
        <f>0.14*0.04</f>
        <v>0.005600000000000001</v>
      </c>
      <c r="C1063" s="77">
        <f>0.14*0.15</f>
        <v>0.021</v>
      </c>
      <c r="D1063" s="78">
        <f>0.14*1</f>
        <v>0.14</v>
      </c>
      <c r="E1063" s="78">
        <f>0.14*307</f>
        <v>42.980000000000004</v>
      </c>
      <c r="F1063" s="78">
        <f>0.14*0.2</f>
        <v>0.028000000000000004</v>
      </c>
      <c r="G1063" s="78"/>
      <c r="H1063" s="78"/>
      <c r="I1063" s="762"/>
    </row>
    <row r="1064" spans="1:9" ht="12.75">
      <c r="A1064" s="1070" t="s">
        <v>84</v>
      </c>
      <c r="B1064" s="77">
        <f>0.4*0.05</f>
        <v>0.020000000000000004</v>
      </c>
      <c r="C1064" s="77">
        <f>0.4*0.3</f>
        <v>0.12000000000000002</v>
      </c>
      <c r="D1064" s="78">
        <f>0.4*0.5</f>
        <v>0.2</v>
      </c>
      <c r="E1064" s="78">
        <f>0.4*150</f>
        <v>60</v>
      </c>
      <c r="F1064" s="78">
        <f>0.4*0.5</f>
        <v>0.2</v>
      </c>
      <c r="G1064" s="78"/>
      <c r="H1064" s="78"/>
      <c r="I1064" s="762"/>
    </row>
    <row r="1065" spans="1:9" ht="12.75">
      <c r="A1065" s="1070" t="s">
        <v>36</v>
      </c>
      <c r="B1065" s="77">
        <f>0.33*0.06</f>
        <v>0.0198</v>
      </c>
      <c r="C1065" s="77">
        <f>0.33*0.15</f>
        <v>0.0495</v>
      </c>
      <c r="D1065" s="78"/>
      <c r="E1065" s="78">
        <f>0.33*9</f>
        <v>2.97</v>
      </c>
      <c r="F1065" s="78">
        <f>0.33*2.7</f>
        <v>0.8910000000000001</v>
      </c>
      <c r="G1065" s="78"/>
      <c r="H1065" s="78"/>
      <c r="I1065" s="762"/>
    </row>
    <row r="1066" spans="1:9" ht="12.75">
      <c r="A1066" s="1070" t="s">
        <v>213</v>
      </c>
      <c r="B1066" s="77">
        <f>0.312*0.07</f>
        <v>0.021840000000000002</v>
      </c>
      <c r="C1066" s="78">
        <f>0.312*0.15</f>
        <v>0.0468</v>
      </c>
      <c r="D1066" s="78">
        <f>0.312*1.8</f>
        <v>0.5616</v>
      </c>
      <c r="E1066" s="78">
        <f>0.312*18</f>
        <v>5.616</v>
      </c>
      <c r="F1066" s="78">
        <f>1.6*0.312</f>
        <v>0.49920000000000003</v>
      </c>
      <c r="G1066" s="78"/>
      <c r="H1066" s="78"/>
      <c r="I1066" s="762"/>
    </row>
    <row r="1067" spans="1:9" ht="12.75">
      <c r="A1067" s="1070" t="s">
        <v>107</v>
      </c>
      <c r="B1067" s="77">
        <f>L983*0.09</f>
        <v>0.021599999999999998</v>
      </c>
      <c r="C1067" s="78">
        <f>L982*0.15</f>
        <v>0</v>
      </c>
      <c r="D1067" s="78">
        <f>L982*0.8</f>
        <v>0</v>
      </c>
      <c r="E1067" s="78">
        <f>L982*20</f>
        <v>0</v>
      </c>
      <c r="F1067" s="78">
        <f>L982*0.7</f>
        <v>0</v>
      </c>
      <c r="G1067" s="78"/>
      <c r="H1067" s="78"/>
      <c r="I1067" s="762"/>
    </row>
    <row r="1068" spans="1:9" ht="12.75">
      <c r="A1068" s="1070" t="s">
        <v>72</v>
      </c>
      <c r="B1068" s="77">
        <f>L984*0.03</f>
        <v>0.0014999999999999998</v>
      </c>
      <c r="C1068" s="78">
        <f>L984*0.11</f>
        <v>0.0055</v>
      </c>
      <c r="D1068" s="78">
        <f>L984*0.3</f>
        <v>0.015000000000000001</v>
      </c>
      <c r="E1068" s="78">
        <f>L984*86</f>
        <v>4.3</v>
      </c>
      <c r="F1068" s="78">
        <f>L984*0.2</f>
        <v>0.01</v>
      </c>
      <c r="G1068" s="78"/>
      <c r="H1068" s="78"/>
      <c r="I1068" s="762"/>
    </row>
    <row r="1069" spans="1:9" ht="12.75">
      <c r="A1069" s="1070" t="s">
        <v>228</v>
      </c>
      <c r="B1069" s="77">
        <f>F122/1000*0.02</f>
        <v>0</v>
      </c>
      <c r="C1069" s="78">
        <f>F122/1000*0.13</f>
        <v>0</v>
      </c>
      <c r="D1069" s="78">
        <f>F122/1000*0.3</f>
        <v>0</v>
      </c>
      <c r="E1069" s="78">
        <f>F122/1000*124</f>
        <v>0</v>
      </c>
      <c r="F1069" s="78">
        <f>F122/1000*0.1</f>
        <v>0</v>
      </c>
      <c r="G1069" s="78"/>
      <c r="H1069" s="78">
        <f>F122</f>
        <v>0</v>
      </c>
      <c r="I1069" s="762"/>
    </row>
    <row r="1070" spans="1:9" ht="12.75">
      <c r="A1070" s="1070" t="s">
        <v>89</v>
      </c>
      <c r="B1070" s="77">
        <f>F684/1000*0.03</f>
        <v>0.003</v>
      </c>
      <c r="C1070" s="78">
        <f>F684/1000*0.17</f>
        <v>0.017</v>
      </c>
      <c r="D1070" s="78">
        <f>F684/1000*0.7</f>
        <v>0.07</v>
      </c>
      <c r="E1070" s="78">
        <f>F684/1000*120</f>
        <v>12</v>
      </c>
      <c r="F1070" s="78">
        <f>F684/1000*0.1</f>
        <v>0.010000000000000002</v>
      </c>
      <c r="G1070" s="78"/>
      <c r="H1070" s="78"/>
      <c r="I1070" s="762"/>
    </row>
    <row r="1071" spans="1:9" ht="12.75">
      <c r="A1071" s="1070" t="s">
        <v>229</v>
      </c>
      <c r="B1071" s="77">
        <f>0.24*0.03</f>
        <v>0.0072</v>
      </c>
      <c r="C1071" s="78">
        <f>0.194*0.15</f>
        <v>0.0291</v>
      </c>
      <c r="D1071" s="78">
        <f>0.194*0.6</f>
        <v>0.11640000000000002</v>
      </c>
      <c r="E1071" s="78">
        <f>0.194*119</f>
        <v>23.086000000000002</v>
      </c>
      <c r="F1071" s="78">
        <f>0.194*0.1</f>
        <v>0.0194</v>
      </c>
      <c r="G1071" s="78"/>
      <c r="H1071" s="78">
        <f>F823</f>
        <v>11</v>
      </c>
      <c r="I1071" s="762"/>
    </row>
    <row r="1072" spans="1:13" ht="12.75">
      <c r="A1072" s="1070" t="s">
        <v>65</v>
      </c>
      <c r="B1072" s="96">
        <f>L990*0.3</f>
        <v>0.0075000000000000015</v>
      </c>
      <c r="C1072" s="337">
        <f>L990*0.36</f>
        <v>0.009</v>
      </c>
      <c r="D1072" s="337">
        <f>L990*0.7</f>
        <v>0.0175</v>
      </c>
      <c r="E1072" s="337">
        <f>L990*900</f>
        <v>22.5</v>
      </c>
      <c r="F1072" s="337">
        <f>L990*0.9</f>
        <v>0.022500000000000003</v>
      </c>
      <c r="G1072" s="98"/>
      <c r="H1072" s="96"/>
      <c r="I1072" s="1371"/>
      <c r="J1072" s="345"/>
      <c r="K1072" s="345"/>
      <c r="L1072" s="345"/>
      <c r="M1072" s="345"/>
    </row>
    <row r="1073" spans="1:13" ht="15.75" thickBot="1">
      <c r="A1073" s="1070" t="s">
        <v>78</v>
      </c>
      <c r="B1073" s="1372">
        <f>0.019*0.15</f>
        <v>0.0028499999999999997</v>
      </c>
      <c r="C1073" s="1372">
        <f>0.019*0.17</f>
        <v>0.0032300000000000002</v>
      </c>
      <c r="D1073" s="337">
        <f>0.019*45</f>
        <v>0.855</v>
      </c>
      <c r="E1073" s="337">
        <f>0.019*20</f>
        <v>0.38</v>
      </c>
      <c r="F1073" s="337">
        <f>0.019*2.3</f>
        <v>0.043699999999999996</v>
      </c>
      <c r="G1073" s="98"/>
      <c r="H1073" s="98"/>
      <c r="I1073" s="1373"/>
      <c r="J1073" s="276"/>
      <c r="K1073" s="276"/>
      <c r="L1073" s="276"/>
      <c r="M1073" s="345"/>
    </row>
    <row r="1074" spans="1:13" ht="13.5" thickBot="1">
      <c r="A1074" s="1374" t="s">
        <v>230</v>
      </c>
      <c r="B1074" s="1374" t="e">
        <f>(SUM(B1039:B1073))/10</f>
        <v>#REF!</v>
      </c>
      <c r="C1074" s="1374" t="e">
        <f>(SUM(C1039:C1073))/10</f>
        <v>#REF!</v>
      </c>
      <c r="D1074" s="1374">
        <f>(SUM(D1039:D1073))/10</f>
        <v>2.8166499999999997</v>
      </c>
      <c r="E1074" s="1374" t="e">
        <f>(SUM(E1039:E1073))/10</f>
        <v>#REF!</v>
      </c>
      <c r="F1074" s="1374" t="e">
        <f>(SUM(F1039:F1073))/10</f>
        <v>#REF!</v>
      </c>
      <c r="G1074" s="1375"/>
      <c r="H1074" s="1376"/>
      <c r="I1074" s="1374"/>
      <c r="J1074" s="317"/>
      <c r="K1074" s="317"/>
      <c r="L1074" s="317"/>
      <c r="M1074" s="345"/>
    </row>
    <row r="1075" spans="1:13" ht="12.75">
      <c r="A1075" s="264"/>
      <c r="B1075" s="266"/>
      <c r="C1075" s="266"/>
      <c r="D1075" s="313"/>
      <c r="E1075" s="315"/>
      <c r="F1075" s="266"/>
      <c r="G1075" s="267"/>
      <c r="H1075" s="288"/>
      <c r="I1075" s="266"/>
      <c r="J1075" s="268"/>
      <c r="K1075" s="266"/>
      <c r="L1075" s="269"/>
      <c r="M1075" s="345"/>
    </row>
    <row r="1076" spans="1:13" ht="12.75">
      <c r="A1076" s="264"/>
      <c r="B1076" s="264"/>
      <c r="C1076" s="266"/>
      <c r="D1076" s="266"/>
      <c r="E1076" s="315"/>
      <c r="F1076" s="266"/>
      <c r="G1076" s="267"/>
      <c r="H1076" s="288"/>
      <c r="I1076" s="233"/>
      <c r="J1076" s="233"/>
      <c r="K1076" s="233"/>
      <c r="L1076" s="233"/>
      <c r="M1076" s="345"/>
    </row>
  </sheetData>
  <sheetProtection selectLockedCells="1" selectUnlockedCells="1"/>
  <mergeCells count="171">
    <mergeCell ref="A919:C919"/>
    <mergeCell ref="A913:C913"/>
    <mergeCell ref="A905:C905"/>
    <mergeCell ref="A899:C899"/>
    <mergeCell ref="A666:C666"/>
    <mergeCell ref="A663:C664"/>
    <mergeCell ref="A896:C896"/>
    <mergeCell ref="A821:C821"/>
    <mergeCell ref="A827:D827"/>
    <mergeCell ref="A846:C847"/>
    <mergeCell ref="E942:F943"/>
    <mergeCell ref="G942:H943"/>
    <mergeCell ref="I942:J943"/>
    <mergeCell ref="B942:B943"/>
    <mergeCell ref="C942:D943"/>
    <mergeCell ref="A865:C865"/>
    <mergeCell ref="A866:C866"/>
    <mergeCell ref="A867:C867"/>
    <mergeCell ref="A873:C873"/>
    <mergeCell ref="A882:C882"/>
    <mergeCell ref="A849:C849"/>
    <mergeCell ref="A854:C854"/>
    <mergeCell ref="A858:C858"/>
    <mergeCell ref="A789:C789"/>
    <mergeCell ref="A796:C796"/>
    <mergeCell ref="A800:C800"/>
    <mergeCell ref="A803:C803"/>
    <mergeCell ref="A804:C804"/>
    <mergeCell ref="A810:C810"/>
    <mergeCell ref="A764:C764"/>
    <mergeCell ref="A767:C767"/>
    <mergeCell ref="A768:C768"/>
    <mergeCell ref="A775:C775"/>
    <mergeCell ref="A776:C776"/>
    <mergeCell ref="A781:C781"/>
    <mergeCell ref="A719:C719"/>
    <mergeCell ref="A724:C724"/>
    <mergeCell ref="A738:C738"/>
    <mergeCell ref="A753:C754"/>
    <mergeCell ref="A757:C757"/>
    <mergeCell ref="A763:C763"/>
    <mergeCell ref="A685:C685"/>
    <mergeCell ref="A691:C691"/>
    <mergeCell ref="A699:C699"/>
    <mergeCell ref="A706:C706"/>
    <mergeCell ref="A715:C715"/>
    <mergeCell ref="A718:C718"/>
    <mergeCell ref="A671:C671"/>
    <mergeCell ref="A672:C672"/>
    <mergeCell ref="A675:C675"/>
    <mergeCell ref="A678:C678"/>
    <mergeCell ref="A683:C683"/>
    <mergeCell ref="A684:C684"/>
    <mergeCell ref="A645:C645"/>
    <mergeCell ref="A646:C646"/>
    <mergeCell ref="A647:C647"/>
    <mergeCell ref="A648:C648"/>
    <mergeCell ref="A625:C625"/>
    <mergeCell ref="A626:C626"/>
    <mergeCell ref="A627:C627"/>
    <mergeCell ref="A632:C632"/>
    <mergeCell ref="A643:C643"/>
    <mergeCell ref="A644:C644"/>
    <mergeCell ref="A592:C592"/>
    <mergeCell ref="A593:C593"/>
    <mergeCell ref="A597:C597"/>
    <mergeCell ref="A606:C606"/>
    <mergeCell ref="A619:C619"/>
    <mergeCell ref="A622:C622"/>
    <mergeCell ref="H572:J572"/>
    <mergeCell ref="A575:C575"/>
    <mergeCell ref="A580:C580"/>
    <mergeCell ref="A584:C584"/>
    <mergeCell ref="A585:C585"/>
    <mergeCell ref="A591:C591"/>
    <mergeCell ref="A510:C510"/>
    <mergeCell ref="A520:C520"/>
    <mergeCell ref="A531:C531"/>
    <mergeCell ref="A539:C539"/>
    <mergeCell ref="A540:C540"/>
    <mergeCell ref="A571:C572"/>
    <mergeCell ref="A488:D488"/>
    <mergeCell ref="A491:D491"/>
    <mergeCell ref="A493:C493"/>
    <mergeCell ref="A494:C494"/>
    <mergeCell ref="A495:C495"/>
    <mergeCell ref="A501:C501"/>
    <mergeCell ref="A443:C443"/>
    <mergeCell ref="A452:C452"/>
    <mergeCell ref="A474:C475"/>
    <mergeCell ref="A478:C478"/>
    <mergeCell ref="A483:C483"/>
    <mergeCell ref="A487:C487"/>
    <mergeCell ref="A406:C406"/>
    <mergeCell ref="A413:C413"/>
    <mergeCell ref="A419:C419"/>
    <mergeCell ref="A432:C432"/>
    <mergeCell ref="A435:C435"/>
    <mergeCell ref="A436:C436"/>
    <mergeCell ref="A382:C383"/>
    <mergeCell ref="A386:C386"/>
    <mergeCell ref="A391:C391"/>
    <mergeCell ref="A395:C395"/>
    <mergeCell ref="A404:C404"/>
    <mergeCell ref="A405:C405"/>
    <mergeCell ref="A332:C332"/>
    <mergeCell ref="A336:C336"/>
    <mergeCell ref="A340:C340"/>
    <mergeCell ref="A347:C347"/>
    <mergeCell ref="A358:C358"/>
    <mergeCell ref="A359:C359"/>
    <mergeCell ref="A304:C304"/>
    <mergeCell ref="A311:C311"/>
    <mergeCell ref="A312:C312"/>
    <mergeCell ref="A313:C313"/>
    <mergeCell ref="A316:C316"/>
    <mergeCell ref="A324:C324"/>
    <mergeCell ref="A265:C265"/>
    <mergeCell ref="A266:C266"/>
    <mergeCell ref="A267:C267"/>
    <mergeCell ref="A291:C292"/>
    <mergeCell ref="A295:C295"/>
    <mergeCell ref="A300:C300"/>
    <mergeCell ref="A237:C237"/>
    <mergeCell ref="A240:C240"/>
    <mergeCell ref="A243:C243"/>
    <mergeCell ref="A244:C244"/>
    <mergeCell ref="A250:C250"/>
    <mergeCell ref="A251:C251"/>
    <mergeCell ref="A206:C206"/>
    <mergeCell ref="A210:C210"/>
    <mergeCell ref="A211:C211"/>
    <mergeCell ref="A212:C212"/>
    <mergeCell ref="A216:C216"/>
    <mergeCell ref="A226:C226"/>
    <mergeCell ref="J189:L189"/>
    <mergeCell ref="A191:C192"/>
    <mergeCell ref="A194:C194"/>
    <mergeCell ref="A199:C199"/>
    <mergeCell ref="A203:C203"/>
    <mergeCell ref="A204:C204"/>
    <mergeCell ref="A148:C148"/>
    <mergeCell ref="A151:C151"/>
    <mergeCell ref="A154:C154"/>
    <mergeCell ref="A155:C155"/>
    <mergeCell ref="A161:C161"/>
    <mergeCell ref="A172:C172"/>
    <mergeCell ref="A121:C121"/>
    <mergeCell ref="A122:C122"/>
    <mergeCell ref="A123:C123"/>
    <mergeCell ref="A128:C128"/>
    <mergeCell ref="A129:C129"/>
    <mergeCell ref="A136:C136"/>
    <mergeCell ref="A62:C62"/>
    <mergeCell ref="J99:L99"/>
    <mergeCell ref="A101:C102"/>
    <mergeCell ref="A105:C105"/>
    <mergeCell ref="A110:C110"/>
    <mergeCell ref="A114:C114"/>
    <mergeCell ref="A22:C22"/>
    <mergeCell ref="A28:C28"/>
    <mergeCell ref="A35:C35"/>
    <mergeCell ref="A42:C42"/>
    <mergeCell ref="A45:C45"/>
    <mergeCell ref="A59:C59"/>
    <mergeCell ref="A3:C4"/>
    <mergeCell ref="A7:C7"/>
    <mergeCell ref="A12:C12"/>
    <mergeCell ref="A16:C16"/>
    <mergeCell ref="A17:D17"/>
    <mergeCell ref="A21:C21"/>
  </mergeCells>
  <printOptions/>
  <pageMargins left="0.7875" right="0.7875" top="0.7875" bottom="0.78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89"/>
  <sheetViews>
    <sheetView zoomScalePageLayoutView="0" workbookViewId="0" topLeftCell="A563">
      <selection activeCell="K586" sqref="K586"/>
    </sheetView>
  </sheetViews>
  <sheetFormatPr defaultColWidth="11.57421875" defaultRowHeight="12.75"/>
  <cols>
    <col min="1" max="1" width="11.57421875" style="0" customWidth="1"/>
    <col min="2" max="2" width="14.28125" style="0" customWidth="1"/>
  </cols>
  <sheetData>
    <row r="3" spans="1:10" ht="15.75">
      <c r="A3" s="1465"/>
      <c r="B3" s="1465"/>
      <c r="C3" s="1465"/>
      <c r="D3" s="1465"/>
      <c r="E3" s="1074" t="s">
        <v>265</v>
      </c>
      <c r="F3" s="1465"/>
      <c r="G3" s="1465"/>
      <c r="H3" s="1465"/>
      <c r="I3" s="1465"/>
      <c r="J3" s="1465"/>
    </row>
    <row r="4" spans="1:10" ht="15.75">
      <c r="A4" s="1465"/>
      <c r="B4" s="1465"/>
      <c r="C4" s="1465"/>
      <c r="D4" s="1465"/>
      <c r="E4" s="1466" t="s">
        <v>266</v>
      </c>
      <c r="F4" s="1466"/>
      <c r="G4" s="1465"/>
      <c r="H4" s="1465"/>
      <c r="I4" s="1465"/>
      <c r="J4" s="1465"/>
    </row>
    <row r="5" spans="1:10" ht="15">
      <c r="A5" s="1465"/>
      <c r="B5" s="1465"/>
      <c r="C5" s="1465"/>
      <c r="D5" s="1465"/>
      <c r="E5" s="1465"/>
      <c r="F5" s="1465"/>
      <c r="G5" s="1465"/>
      <c r="H5" s="1465"/>
      <c r="I5" s="1465"/>
      <c r="J5" s="1465"/>
    </row>
    <row r="6" spans="1:10" ht="15.75">
      <c r="A6" s="1878" t="s">
        <v>267</v>
      </c>
      <c r="B6" s="1878"/>
      <c r="C6" s="1878"/>
      <c r="D6" s="1878"/>
      <c r="E6" s="311" t="s">
        <v>4</v>
      </c>
      <c r="F6" s="311" t="s">
        <v>5</v>
      </c>
      <c r="G6" s="1467" t="s">
        <v>268</v>
      </c>
      <c r="H6" s="1467" t="s">
        <v>269</v>
      </c>
      <c r="I6" s="1467" t="s">
        <v>270</v>
      </c>
      <c r="J6" s="1467" t="s">
        <v>271</v>
      </c>
    </row>
    <row r="7" spans="1:10" ht="15">
      <c r="A7" s="1468" t="s">
        <v>65</v>
      </c>
      <c r="B7" s="1469"/>
      <c r="C7" s="1470"/>
      <c r="D7" s="1471"/>
      <c r="E7" s="1472">
        <v>0.011</v>
      </c>
      <c r="F7" s="1473">
        <v>10</v>
      </c>
      <c r="G7" s="1474"/>
      <c r="H7" s="1474"/>
      <c r="I7" s="1474"/>
      <c r="J7" s="1475"/>
    </row>
    <row r="8" spans="1:10" ht="15">
      <c r="A8" s="1468" t="s">
        <v>18</v>
      </c>
      <c r="B8" s="1469"/>
      <c r="C8" s="1470"/>
      <c r="D8" s="1471"/>
      <c r="E8" s="1476">
        <v>0.05</v>
      </c>
      <c r="F8" s="1471">
        <v>50</v>
      </c>
      <c r="G8" s="1477"/>
      <c r="H8" s="1477"/>
      <c r="I8" s="1477"/>
      <c r="J8" s="1478"/>
    </row>
    <row r="9" spans="1:10" ht="15">
      <c r="A9" s="1468" t="s">
        <v>46</v>
      </c>
      <c r="B9" s="1469"/>
      <c r="C9" s="1470"/>
      <c r="D9" s="1471"/>
      <c r="E9" s="1476">
        <v>0.041</v>
      </c>
      <c r="F9" s="1479">
        <v>40</v>
      </c>
      <c r="G9" s="1480"/>
      <c r="H9" s="1480"/>
      <c r="I9" s="1480"/>
      <c r="J9" s="1481"/>
    </row>
    <row r="10" spans="1:10" ht="15">
      <c r="A10" s="1482" t="s">
        <v>16</v>
      </c>
      <c r="B10" s="1483"/>
      <c r="C10" s="1484"/>
      <c r="D10" s="1485"/>
      <c r="E10" s="1486">
        <v>0.005</v>
      </c>
      <c r="F10" s="1487">
        <v>5</v>
      </c>
      <c r="G10" s="1488"/>
      <c r="H10" s="1488"/>
      <c r="I10" s="1488"/>
      <c r="J10" s="1489"/>
    </row>
    <row r="11" spans="1:10" ht="15.75">
      <c r="A11" s="1490"/>
      <c r="B11" s="1491"/>
      <c r="C11" s="1491"/>
      <c r="D11" s="1491"/>
      <c r="E11" s="1491"/>
      <c r="F11" s="1491"/>
      <c r="G11" s="1492">
        <v>9.14</v>
      </c>
      <c r="H11" s="1492">
        <v>12.09</v>
      </c>
      <c r="I11" s="1492">
        <v>2.75</v>
      </c>
      <c r="J11" s="1493">
        <v>160.2</v>
      </c>
    </row>
    <row r="12" spans="1:10" ht="15">
      <c r="A12" s="1465"/>
      <c r="B12" s="1465"/>
      <c r="C12" s="1465"/>
      <c r="D12" s="1465"/>
      <c r="E12" s="1465"/>
      <c r="F12" s="1465"/>
      <c r="G12" s="1465"/>
      <c r="H12" s="1465"/>
      <c r="I12" s="1465"/>
      <c r="J12" s="1465"/>
    </row>
    <row r="13" spans="1:10" ht="15.75">
      <c r="A13" s="1494" t="s">
        <v>272</v>
      </c>
      <c r="B13" s="1465"/>
      <c r="C13" s="1465"/>
      <c r="D13" s="1465"/>
      <c r="E13" s="1465"/>
      <c r="F13" s="1465"/>
      <c r="G13" s="1465"/>
      <c r="H13" s="1465"/>
      <c r="I13" s="1465"/>
      <c r="J13" s="1465"/>
    </row>
    <row r="14" spans="1:10" ht="15">
      <c r="A14" s="1465" t="s">
        <v>273</v>
      </c>
      <c r="B14" s="1465"/>
      <c r="C14" s="1465"/>
      <c r="D14" s="1465"/>
      <c r="E14" s="1465"/>
      <c r="F14" s="1465"/>
      <c r="G14" s="1465"/>
      <c r="H14" s="1465"/>
      <c r="I14" s="1465"/>
      <c r="J14" s="1465"/>
    </row>
    <row r="15" spans="1:10" ht="15">
      <c r="A15" s="1465" t="s">
        <v>274</v>
      </c>
      <c r="B15" s="1465"/>
      <c r="C15" s="1465"/>
      <c r="D15" s="1465"/>
      <c r="E15" s="1465"/>
      <c r="F15" s="1465"/>
      <c r="G15" s="1465"/>
      <c r="H15" s="1465"/>
      <c r="I15" s="1465"/>
      <c r="J15" s="1465"/>
    </row>
    <row r="16" spans="1:10" ht="15">
      <c r="A16" s="1465" t="s">
        <v>275</v>
      </c>
      <c r="B16" s="1465"/>
      <c r="C16" s="1465"/>
      <c r="D16" s="1465"/>
      <c r="E16" s="1465"/>
      <c r="F16" s="1465"/>
      <c r="G16" s="1465"/>
      <c r="H16" s="1465"/>
      <c r="I16" s="1465"/>
      <c r="J16" s="1465"/>
    </row>
    <row r="17" spans="1:10" ht="15">
      <c r="A17" s="1465" t="s">
        <v>276</v>
      </c>
      <c r="B17" s="1465"/>
      <c r="C17" s="1465"/>
      <c r="D17" s="1465"/>
      <c r="E17" s="1465"/>
      <c r="F17" s="1465"/>
      <c r="G17" s="1465"/>
      <c r="H17" s="1465"/>
      <c r="I17" s="1465"/>
      <c r="J17" s="1465"/>
    </row>
    <row r="18" spans="1:10" ht="15">
      <c r="A18" s="1465" t="s">
        <v>277</v>
      </c>
      <c r="B18" s="1465"/>
      <c r="C18" s="1465"/>
      <c r="D18" s="1465"/>
      <c r="E18" s="1465"/>
      <c r="F18" s="1465"/>
      <c r="G18" s="1465"/>
      <c r="H18" s="1465"/>
      <c r="I18" s="1465"/>
      <c r="J18" s="1465"/>
    </row>
    <row r="19" spans="1:10" ht="15">
      <c r="A19" s="1465" t="s">
        <v>278</v>
      </c>
      <c r="B19" s="1465"/>
      <c r="C19" s="1465"/>
      <c r="D19" s="1465"/>
      <c r="E19" s="1465"/>
      <c r="F19" s="1465"/>
      <c r="G19" s="1465"/>
      <c r="H19" s="1465"/>
      <c r="I19" s="1465"/>
      <c r="J19" s="1465"/>
    </row>
    <row r="20" spans="1:10" ht="15">
      <c r="A20" s="1465" t="s">
        <v>279</v>
      </c>
      <c r="B20" s="1465"/>
      <c r="C20" s="1465"/>
      <c r="D20" s="1465"/>
      <c r="E20" s="1465"/>
      <c r="F20" s="1465"/>
      <c r="G20" s="1465"/>
      <c r="H20" s="1465"/>
      <c r="I20" s="1465"/>
      <c r="J20" s="1465"/>
    </row>
    <row r="21" spans="1:10" ht="15.75">
      <c r="A21" s="1494" t="s">
        <v>280</v>
      </c>
      <c r="B21" s="1465"/>
      <c r="C21" s="1465"/>
      <c r="D21" s="1465"/>
      <c r="E21" s="1465"/>
      <c r="F21" s="1465"/>
      <c r="G21" s="1465"/>
      <c r="H21" s="1465"/>
      <c r="I21" s="1465"/>
      <c r="J21" s="1465"/>
    </row>
    <row r="22" spans="1:10" ht="15">
      <c r="A22" s="1495" t="s">
        <v>281</v>
      </c>
      <c r="B22" s="1465"/>
      <c r="C22" s="1465"/>
      <c r="D22" s="1465"/>
      <c r="E22" s="1465"/>
      <c r="F22" s="1465"/>
      <c r="G22" s="1465"/>
      <c r="H22" s="1465"/>
      <c r="I22" s="1465"/>
      <c r="J22" s="1465"/>
    </row>
    <row r="23" spans="1:10" ht="15">
      <c r="A23" s="1465"/>
      <c r="B23" s="1465"/>
      <c r="C23" s="1465"/>
      <c r="D23" s="1465"/>
      <c r="E23" s="1465"/>
      <c r="F23" s="1465"/>
      <c r="G23" s="1465"/>
      <c r="H23" s="1465"/>
      <c r="I23" s="1465"/>
      <c r="J23" s="1465"/>
    </row>
    <row r="24" spans="1:10" ht="15">
      <c r="A24" s="1465"/>
      <c r="B24" s="1465"/>
      <c r="C24" s="1465"/>
      <c r="D24" s="1465"/>
      <c r="E24" s="1465"/>
      <c r="F24" s="1465"/>
      <c r="G24" s="1465"/>
      <c r="H24" s="1465"/>
      <c r="I24" s="1465"/>
      <c r="J24" s="1465"/>
    </row>
    <row r="25" spans="1:10" ht="15.75">
      <c r="A25" s="1465"/>
      <c r="B25" s="1465"/>
      <c r="C25" s="1465"/>
      <c r="D25" s="1465"/>
      <c r="E25" s="1879" t="s">
        <v>178</v>
      </c>
      <c r="F25" s="1879"/>
      <c r="G25" s="1879"/>
      <c r="H25" s="1465"/>
      <c r="I25" s="1465"/>
      <c r="J25" s="1465"/>
    </row>
    <row r="26" spans="1:10" ht="15">
      <c r="A26" s="1465"/>
      <c r="B26" s="1465"/>
      <c r="C26" s="1465"/>
      <c r="D26" s="1465"/>
      <c r="E26" s="1465" t="s">
        <v>282</v>
      </c>
      <c r="F26" s="1465"/>
      <c r="G26" s="1465"/>
      <c r="H26" s="1465"/>
      <c r="I26" s="1465"/>
      <c r="J26" s="1465"/>
    </row>
    <row r="27" spans="1:10" ht="15">
      <c r="A27" s="1465"/>
      <c r="B27" s="1465"/>
      <c r="C27" s="1465"/>
      <c r="D27" s="1465"/>
      <c r="E27" s="1465"/>
      <c r="F27" s="1465"/>
      <c r="G27" s="1465"/>
      <c r="H27" s="1465"/>
      <c r="I27" s="1465"/>
      <c r="J27" s="1465"/>
    </row>
    <row r="28" spans="1:10" ht="15.75">
      <c r="A28" s="1780" t="s">
        <v>178</v>
      </c>
      <c r="B28" s="1780"/>
      <c r="C28" s="1780"/>
      <c r="D28" s="1496">
        <v>130</v>
      </c>
      <c r="E28" s="311" t="s">
        <v>4</v>
      </c>
      <c r="F28" s="311" t="s">
        <v>5</v>
      </c>
      <c r="G28" s="1467" t="s">
        <v>268</v>
      </c>
      <c r="H28" s="1467" t="s">
        <v>269</v>
      </c>
      <c r="I28" s="1467" t="s">
        <v>270</v>
      </c>
      <c r="J28" s="1467" t="s">
        <v>271</v>
      </c>
    </row>
    <row r="29" spans="1:10" ht="12.75">
      <c r="A29" s="557" t="s">
        <v>18</v>
      </c>
      <c r="B29" s="558"/>
      <c r="C29" s="558"/>
      <c r="D29" s="1497"/>
      <c r="E29" s="454">
        <v>0.04</v>
      </c>
      <c r="F29" s="73">
        <v>40</v>
      </c>
      <c r="G29" s="80"/>
      <c r="H29" s="80"/>
      <c r="I29" s="80"/>
      <c r="J29" s="81"/>
    </row>
    <row r="30" spans="1:10" ht="12.75">
      <c r="A30" s="340" t="s">
        <v>37</v>
      </c>
      <c r="B30" s="341"/>
      <c r="C30" s="341"/>
      <c r="D30" s="503"/>
      <c r="E30" s="448">
        <v>0.003</v>
      </c>
      <c r="F30" s="560">
        <v>3</v>
      </c>
      <c r="G30" s="521"/>
      <c r="H30" s="455"/>
      <c r="I30" s="80"/>
      <c r="J30" s="522"/>
    </row>
    <row r="31" spans="1:10" ht="12.75">
      <c r="A31" s="340" t="s">
        <v>16</v>
      </c>
      <c r="B31" s="341"/>
      <c r="C31" s="341"/>
      <c r="D31" s="503"/>
      <c r="E31" s="562">
        <v>0.002</v>
      </c>
      <c r="F31" s="505">
        <v>2</v>
      </c>
      <c r="G31" s="45"/>
      <c r="H31" s="45"/>
      <c r="I31" s="45"/>
      <c r="J31" s="46"/>
    </row>
    <row r="32" spans="1:10" ht="12.75">
      <c r="A32" s="340" t="s">
        <v>46</v>
      </c>
      <c r="B32" s="341"/>
      <c r="C32" s="341"/>
      <c r="D32" s="503"/>
      <c r="E32" s="562">
        <v>0.012</v>
      </c>
      <c r="F32" s="564">
        <v>11</v>
      </c>
      <c r="G32" s="455"/>
      <c r="H32" s="455"/>
      <c r="I32" s="455"/>
      <c r="J32" s="456"/>
    </row>
    <row r="33" spans="1:10" ht="12.75">
      <c r="A33" s="340" t="s">
        <v>84</v>
      </c>
      <c r="B33" s="341"/>
      <c r="C33" s="341"/>
      <c r="D33" s="503"/>
      <c r="E33" s="433">
        <v>0.1</v>
      </c>
      <c r="F33" s="434">
        <v>97</v>
      </c>
      <c r="G33" s="54"/>
      <c r="H33" s="256"/>
      <c r="I33" s="256"/>
      <c r="J33" s="532"/>
    </row>
    <row r="34" spans="1:10" ht="12.75">
      <c r="A34" s="340" t="s">
        <v>17</v>
      </c>
      <c r="B34" s="341"/>
      <c r="C34" s="341"/>
      <c r="D34" s="503"/>
      <c r="E34" s="562">
        <v>0.008</v>
      </c>
      <c r="F34" s="505">
        <v>8</v>
      </c>
      <c r="G34" s="80"/>
      <c r="H34" s="80"/>
      <c r="I34" s="80"/>
      <c r="J34" s="81"/>
    </row>
    <row r="35" spans="1:10" ht="12.75">
      <c r="A35" s="340" t="s">
        <v>76</v>
      </c>
      <c r="B35" s="341"/>
      <c r="C35" s="341"/>
      <c r="D35" s="503"/>
      <c r="E35" s="77">
        <v>0.007</v>
      </c>
      <c r="F35" s="78">
        <v>7</v>
      </c>
      <c r="G35" s="34"/>
      <c r="H35" s="35"/>
      <c r="I35" s="35"/>
      <c r="J35" s="36"/>
    </row>
    <row r="36" spans="1:10" ht="12.75">
      <c r="A36" s="566" t="s">
        <v>86</v>
      </c>
      <c r="B36" s="567"/>
      <c r="C36" s="567"/>
      <c r="D36" s="1498"/>
      <c r="E36" s="569">
        <v>2E-05</v>
      </c>
      <c r="F36" s="83">
        <v>0.02</v>
      </c>
      <c r="G36" s="570"/>
      <c r="H36" s="570"/>
      <c r="I36" s="570"/>
      <c r="J36" s="571"/>
    </row>
    <row r="37" spans="1:10" ht="12.75">
      <c r="A37" s="1780"/>
      <c r="B37" s="1780"/>
      <c r="C37" s="1780"/>
      <c r="D37" s="1496"/>
      <c r="E37" s="282"/>
      <c r="F37" s="282"/>
      <c r="G37" s="1499">
        <v>18.82</v>
      </c>
      <c r="H37" s="1499">
        <v>15.51</v>
      </c>
      <c r="I37" s="1499">
        <v>17.86</v>
      </c>
      <c r="J37" s="1500">
        <v>288.72</v>
      </c>
    </row>
    <row r="39" spans="1:10" ht="15.75">
      <c r="A39" s="1494" t="s">
        <v>283</v>
      </c>
      <c r="B39" s="1465"/>
      <c r="C39" s="1465"/>
      <c r="D39" s="1465"/>
      <c r="E39" s="1495"/>
      <c r="F39" s="1495"/>
      <c r="G39" s="1495"/>
      <c r="H39" s="1495"/>
      <c r="I39" s="1495"/>
      <c r="J39" s="1495"/>
    </row>
    <row r="40" spans="1:10" ht="15">
      <c r="A40" s="1465" t="s">
        <v>284</v>
      </c>
      <c r="B40" s="1465"/>
      <c r="C40" s="1465"/>
      <c r="D40" s="1465"/>
      <c r="E40" s="1465"/>
      <c r="F40" s="1465"/>
      <c r="G40" s="1465"/>
      <c r="H40" s="1465"/>
      <c r="I40" s="1465"/>
      <c r="J40" s="1465"/>
    </row>
    <row r="41" spans="1:10" ht="15">
      <c r="A41" s="1465" t="s">
        <v>285</v>
      </c>
      <c r="B41" s="1465"/>
      <c r="C41" s="1465"/>
      <c r="D41" s="1465"/>
      <c r="E41" s="1465"/>
      <c r="F41" s="1465"/>
      <c r="G41" s="1465"/>
      <c r="H41" s="1465"/>
      <c r="I41" s="1465"/>
      <c r="J41" s="1465"/>
    </row>
    <row r="42" spans="1:10" ht="15">
      <c r="A42" s="1465" t="s">
        <v>286</v>
      </c>
      <c r="B42" s="1465"/>
      <c r="C42" s="1465"/>
      <c r="D42" s="1465"/>
      <c r="E42" s="1465"/>
      <c r="F42" s="1465"/>
      <c r="G42" s="1465"/>
      <c r="H42" s="1465"/>
      <c r="I42" s="1465"/>
      <c r="J42" s="1465"/>
    </row>
    <row r="43" spans="1:10" ht="15">
      <c r="A43" s="1465" t="s">
        <v>287</v>
      </c>
      <c r="B43" s="1465"/>
      <c r="C43" s="1465"/>
      <c r="D43" s="1465"/>
      <c r="E43" s="1465"/>
      <c r="F43" s="1465"/>
      <c r="G43" s="1465"/>
      <c r="H43" s="1465"/>
      <c r="I43" s="1465"/>
      <c r="J43" s="1465"/>
    </row>
    <row r="44" spans="1:10" ht="15.75">
      <c r="A44" s="1494" t="s">
        <v>288</v>
      </c>
      <c r="B44" s="1465"/>
      <c r="C44" s="1465"/>
      <c r="D44" s="1465"/>
      <c r="E44" s="1465"/>
      <c r="F44" s="1465"/>
      <c r="G44" s="1465"/>
      <c r="H44" s="1465"/>
      <c r="I44" s="1465"/>
      <c r="J44" s="1465"/>
    </row>
    <row r="45" spans="1:10" ht="15">
      <c r="A45" s="1465" t="s">
        <v>289</v>
      </c>
      <c r="B45" s="1465"/>
      <c r="C45" s="1465"/>
      <c r="D45" s="1465"/>
      <c r="E45" s="1465"/>
      <c r="F45" s="1465"/>
      <c r="G45" s="1465"/>
      <c r="H45" s="1465"/>
      <c r="I45" s="1465"/>
      <c r="J45" s="1465"/>
    </row>
    <row r="46" spans="1:10" ht="15">
      <c r="A46" s="1465"/>
      <c r="B46" s="1465"/>
      <c r="C46" s="1465"/>
      <c r="D46" s="1465"/>
      <c r="E46" s="1465"/>
      <c r="F46" s="1465"/>
      <c r="G46" s="1465"/>
      <c r="H46" s="1465"/>
      <c r="I46" s="1465"/>
      <c r="J46" s="1465"/>
    </row>
    <row r="47" spans="1:10" ht="15">
      <c r="A47" s="1465"/>
      <c r="B47" s="1465"/>
      <c r="C47" s="1465"/>
      <c r="D47" s="1465"/>
      <c r="E47" s="1465"/>
      <c r="F47" s="1465"/>
      <c r="G47" s="1465"/>
      <c r="H47" s="1465"/>
      <c r="I47" s="1465"/>
      <c r="J47" s="1465"/>
    </row>
    <row r="48" spans="1:10" ht="15">
      <c r="A48" s="1465"/>
      <c r="B48" s="1465"/>
      <c r="C48" s="1465"/>
      <c r="D48" s="1465"/>
      <c r="E48" s="1465"/>
      <c r="F48" s="1465"/>
      <c r="G48" s="1465"/>
      <c r="H48" s="1465"/>
      <c r="I48" s="1465"/>
      <c r="J48" s="1465"/>
    </row>
    <row r="49" spans="1:10" ht="15">
      <c r="A49" s="1465"/>
      <c r="B49" s="1465"/>
      <c r="C49" s="1465"/>
      <c r="D49" s="1465"/>
      <c r="E49" s="1465"/>
      <c r="F49" s="1465"/>
      <c r="G49" s="1465"/>
      <c r="H49" s="1465"/>
      <c r="I49" s="1465"/>
      <c r="J49" s="1465"/>
    </row>
    <row r="50" spans="1:10" ht="15">
      <c r="A50" s="1465"/>
      <c r="B50" s="1465"/>
      <c r="C50" s="1465"/>
      <c r="D50" s="1465"/>
      <c r="E50" s="1465"/>
      <c r="F50" s="1465"/>
      <c r="G50" s="1465"/>
      <c r="H50" s="1465"/>
      <c r="I50" s="1465"/>
      <c r="J50" s="1465"/>
    </row>
    <row r="51" spans="1:10" ht="15">
      <c r="A51" s="1465"/>
      <c r="B51" s="1465"/>
      <c r="C51" s="1465"/>
      <c r="D51" s="1465"/>
      <c r="E51" s="1465"/>
      <c r="F51" s="1465"/>
      <c r="G51" s="1465"/>
      <c r="H51" s="1465"/>
      <c r="I51" s="1465"/>
      <c r="J51" s="1465"/>
    </row>
    <row r="52" spans="1:10" ht="15.75">
      <c r="A52" s="1465"/>
      <c r="B52" s="1465"/>
      <c r="C52" s="1465"/>
      <c r="D52" s="1465"/>
      <c r="E52" s="1880" t="s">
        <v>290</v>
      </c>
      <c r="F52" s="1880"/>
      <c r="G52" s="1880"/>
      <c r="H52" s="1465"/>
      <c r="I52" s="1465"/>
      <c r="J52" s="1465"/>
    </row>
    <row r="53" spans="1:10" ht="15">
      <c r="A53" s="1465"/>
      <c r="B53" s="1465"/>
      <c r="C53" s="1465"/>
      <c r="D53" s="1465"/>
      <c r="E53" s="131" t="s">
        <v>291</v>
      </c>
      <c r="F53" s="1465"/>
      <c r="G53" s="1465"/>
      <c r="H53" s="1465"/>
      <c r="I53" s="1465"/>
      <c r="J53" s="1465"/>
    </row>
    <row r="54" spans="1:10" ht="15">
      <c r="A54" s="1465"/>
      <c r="B54" s="1465"/>
      <c r="C54" s="1465"/>
      <c r="D54" s="1465"/>
      <c r="E54" s="1465"/>
      <c r="F54" s="1465"/>
      <c r="G54" s="1465"/>
      <c r="H54" s="1465"/>
      <c r="I54" s="1465"/>
      <c r="J54" s="1465"/>
    </row>
    <row r="55" spans="1:10" ht="15.75">
      <c r="A55" s="1773" t="s">
        <v>290</v>
      </c>
      <c r="B55" s="1773"/>
      <c r="C55" s="1773"/>
      <c r="D55" s="177">
        <v>50</v>
      </c>
      <c r="E55" s="311" t="s">
        <v>4</v>
      </c>
      <c r="F55" s="311" t="s">
        <v>5</v>
      </c>
      <c r="G55" s="1467" t="s">
        <v>268</v>
      </c>
      <c r="H55" s="1467" t="s">
        <v>269</v>
      </c>
      <c r="I55" s="1467" t="s">
        <v>270</v>
      </c>
      <c r="J55" s="1467" t="s">
        <v>271</v>
      </c>
    </row>
    <row r="56" spans="1:10" ht="15">
      <c r="A56" s="196" t="s">
        <v>17</v>
      </c>
      <c r="B56" s="197"/>
      <c r="C56" s="334"/>
      <c r="D56" s="1501"/>
      <c r="E56" s="336">
        <v>0.003</v>
      </c>
      <c r="F56" s="143">
        <v>3</v>
      </c>
      <c r="G56" s="1502"/>
      <c r="H56" s="1502"/>
      <c r="I56" s="1502"/>
      <c r="J56" s="1503"/>
    </row>
    <row r="57" spans="1:10" ht="15">
      <c r="A57" s="217" t="s">
        <v>37</v>
      </c>
      <c r="B57" s="218"/>
      <c r="C57" s="48"/>
      <c r="D57" s="48"/>
      <c r="E57" s="1504">
        <v>0.004</v>
      </c>
      <c r="F57" s="52">
        <v>4</v>
      </c>
      <c r="G57" s="1502"/>
      <c r="H57" s="1502"/>
      <c r="I57" s="1502"/>
      <c r="J57" s="1503"/>
    </row>
    <row r="58" spans="1:10" ht="15">
      <c r="A58" s="37" t="s">
        <v>34</v>
      </c>
      <c r="B58" s="38"/>
      <c r="C58" s="38"/>
      <c r="D58" s="38"/>
      <c r="E58" s="1505">
        <v>0.07</v>
      </c>
      <c r="F58" s="42">
        <v>50</v>
      </c>
      <c r="G58" s="1502"/>
      <c r="H58" s="1502"/>
      <c r="I58" s="1502"/>
      <c r="J58" s="1503"/>
    </row>
    <row r="59" spans="1:10" ht="15">
      <c r="A59" s="1881"/>
      <c r="B59" s="1881"/>
      <c r="C59" s="1881"/>
      <c r="D59" s="1881"/>
      <c r="E59" s="1506"/>
      <c r="F59" s="1506"/>
      <c r="G59" s="1507">
        <v>0.65</v>
      </c>
      <c r="H59" s="1507">
        <v>4.05</v>
      </c>
      <c r="I59" s="1507">
        <v>6.44</v>
      </c>
      <c r="J59" s="1508">
        <v>65.43</v>
      </c>
    </row>
    <row r="61" ht="15.75">
      <c r="A61" s="1494" t="s">
        <v>292</v>
      </c>
    </row>
    <row r="62" spans="1:10" ht="15">
      <c r="A62" s="1465" t="s">
        <v>293</v>
      </c>
      <c r="B62" s="1465"/>
      <c r="C62" s="1465"/>
      <c r="D62" s="1465"/>
      <c r="E62" s="1465"/>
      <c r="F62" s="1465"/>
      <c r="G62" s="1465"/>
      <c r="H62" s="1465"/>
      <c r="I62" s="1465"/>
      <c r="J62" s="1465"/>
    </row>
    <row r="63" spans="1:10" ht="15">
      <c r="A63" s="1465" t="s">
        <v>294</v>
      </c>
      <c r="B63" s="1465"/>
      <c r="C63" s="1465"/>
      <c r="D63" s="1465"/>
      <c r="E63" s="1465"/>
      <c r="F63" s="1465"/>
      <c r="G63" s="1465"/>
      <c r="H63" s="1465"/>
      <c r="I63" s="1465"/>
      <c r="J63" s="1465"/>
    </row>
    <row r="64" spans="1:10" ht="15">
      <c r="A64" s="1465"/>
      <c r="B64" s="1465"/>
      <c r="C64" s="1465"/>
      <c r="D64" s="1465"/>
      <c r="E64" s="1465"/>
      <c r="F64" s="1465"/>
      <c r="G64" s="1465"/>
      <c r="H64" s="1465"/>
      <c r="I64" s="1465"/>
      <c r="J64" s="1465"/>
    </row>
    <row r="65" spans="1:10" ht="15">
      <c r="A65" s="1465"/>
      <c r="B65" s="1465"/>
      <c r="C65" s="1465"/>
      <c r="D65" s="1465"/>
      <c r="E65" s="1465"/>
      <c r="F65" s="1465"/>
      <c r="G65" s="1465"/>
      <c r="H65" s="1465"/>
      <c r="I65" s="1465"/>
      <c r="J65" s="1465"/>
    </row>
    <row r="66" spans="1:10" ht="15.75">
      <c r="A66" s="1465"/>
      <c r="B66" s="1465"/>
      <c r="C66" s="1465"/>
      <c r="D66" s="1465"/>
      <c r="E66" s="1880" t="s">
        <v>295</v>
      </c>
      <c r="F66" s="1880"/>
      <c r="G66" s="1880"/>
      <c r="H66" s="1465"/>
      <c r="I66" s="1465"/>
      <c r="J66" s="1465"/>
    </row>
    <row r="67" spans="1:10" ht="15.75">
      <c r="A67" s="1465"/>
      <c r="B67" s="1465"/>
      <c r="C67" s="1465"/>
      <c r="D67" s="1465"/>
      <c r="E67" s="1509" t="s">
        <v>296</v>
      </c>
      <c r="F67" s="1465"/>
      <c r="G67" s="1465"/>
      <c r="H67" s="1465"/>
      <c r="I67" s="1465"/>
      <c r="J67" s="1465"/>
    </row>
    <row r="68" spans="1:10" ht="15">
      <c r="A68" s="1510"/>
      <c r="B68" s="1511"/>
      <c r="C68" s="1465"/>
      <c r="D68" s="1465"/>
      <c r="E68" s="1465"/>
      <c r="F68" s="1465"/>
      <c r="G68" s="1465"/>
      <c r="H68" s="1465"/>
      <c r="I68" s="1465"/>
      <c r="J68" s="1465"/>
    </row>
    <row r="69" spans="1:10" ht="15.75">
      <c r="A69" s="1773" t="s">
        <v>295</v>
      </c>
      <c r="B69" s="1773"/>
      <c r="C69" s="1773"/>
      <c r="D69" s="1512">
        <v>150</v>
      </c>
      <c r="E69" s="311" t="s">
        <v>4</v>
      </c>
      <c r="F69" s="311" t="s">
        <v>5</v>
      </c>
      <c r="G69" s="1467" t="s">
        <v>268</v>
      </c>
      <c r="H69" s="1467" t="s">
        <v>269</v>
      </c>
      <c r="I69" s="1467" t="s">
        <v>270</v>
      </c>
      <c r="J69" s="1467" t="s">
        <v>271</v>
      </c>
    </row>
    <row r="70" spans="1:10" ht="15">
      <c r="A70" s="196" t="s">
        <v>16</v>
      </c>
      <c r="B70" s="848"/>
      <c r="C70" s="849"/>
      <c r="D70" s="849"/>
      <c r="E70" s="851">
        <v>0.005</v>
      </c>
      <c r="F70" s="852">
        <v>5</v>
      </c>
      <c r="G70" s="1502"/>
      <c r="H70" s="1502"/>
      <c r="I70" s="1502"/>
      <c r="J70" s="1503"/>
    </row>
    <row r="71" spans="1:10" ht="15">
      <c r="A71" s="217" t="s">
        <v>37</v>
      </c>
      <c r="B71" s="218"/>
      <c r="C71" s="218"/>
      <c r="D71" s="1449"/>
      <c r="E71" s="77">
        <v>0.004</v>
      </c>
      <c r="F71" s="80">
        <v>4</v>
      </c>
      <c r="G71" s="1502"/>
      <c r="H71" s="1502"/>
      <c r="I71" s="1502"/>
      <c r="J71" s="1503"/>
    </row>
    <row r="72" spans="1:10" ht="15">
      <c r="A72" s="217" t="s">
        <v>38</v>
      </c>
      <c r="B72" s="218"/>
      <c r="C72" s="1513"/>
      <c r="D72" s="1513"/>
      <c r="E72" s="448">
        <v>0.195</v>
      </c>
      <c r="F72" s="449">
        <v>155</v>
      </c>
      <c r="G72" s="1502"/>
      <c r="H72" s="1502"/>
      <c r="I72" s="1502"/>
      <c r="J72" s="1503"/>
    </row>
    <row r="73" spans="1:10" ht="15">
      <c r="A73" s="217" t="s">
        <v>33</v>
      </c>
      <c r="B73" s="218"/>
      <c r="C73" s="1513"/>
      <c r="D73" s="1513"/>
      <c r="E73" s="448">
        <v>0.01</v>
      </c>
      <c r="F73" s="449">
        <v>7</v>
      </c>
      <c r="G73" s="1502"/>
      <c r="H73" s="1502"/>
      <c r="I73" s="1502"/>
      <c r="J73" s="1503"/>
    </row>
    <row r="74" spans="1:10" ht="15">
      <c r="A74" s="217" t="s">
        <v>34</v>
      </c>
      <c r="B74" s="218"/>
      <c r="C74" s="1513"/>
      <c r="D74" s="1513"/>
      <c r="E74" s="448">
        <v>0.015</v>
      </c>
      <c r="F74" s="449">
        <v>12</v>
      </c>
      <c r="G74" s="1502"/>
      <c r="H74" s="1502"/>
      <c r="I74" s="1502"/>
      <c r="J74" s="1503"/>
    </row>
    <row r="75" spans="1:10" ht="15">
      <c r="A75" s="37" t="s">
        <v>78</v>
      </c>
      <c r="B75" s="38"/>
      <c r="C75" s="292"/>
      <c r="D75" s="292"/>
      <c r="E75" s="41">
        <v>0.002</v>
      </c>
      <c r="F75" s="42">
        <v>2</v>
      </c>
      <c r="G75" s="1502"/>
      <c r="H75" s="1502"/>
      <c r="I75" s="1502"/>
      <c r="J75" s="1503"/>
    </row>
    <row r="76" spans="1:10" ht="15">
      <c r="A76" s="1881"/>
      <c r="B76" s="1881"/>
      <c r="C76" s="1881"/>
      <c r="D76" s="1881"/>
      <c r="E76" s="1506"/>
      <c r="F76" s="1506"/>
      <c r="G76" s="1514">
        <v>3.19</v>
      </c>
      <c r="H76" s="1514">
        <v>7.8</v>
      </c>
      <c r="I76" s="1514">
        <v>9.14</v>
      </c>
      <c r="J76" s="1515">
        <v>121.57</v>
      </c>
    </row>
    <row r="77" spans="1:10" ht="15">
      <c r="A77" s="1465"/>
      <c r="B77" s="1465"/>
      <c r="C77" s="1465"/>
      <c r="D77" s="1465"/>
      <c r="E77" s="1465"/>
      <c r="F77" s="1465"/>
      <c r="G77" s="1465"/>
      <c r="H77" s="1465"/>
      <c r="I77" s="1465"/>
      <c r="J77" s="1465"/>
    </row>
    <row r="78" spans="1:10" ht="15.75">
      <c r="A78" s="1494" t="s">
        <v>297</v>
      </c>
      <c r="B78" s="1465"/>
      <c r="C78" s="1465"/>
      <c r="D78" s="1465"/>
      <c r="E78" s="1465"/>
      <c r="F78" s="1465"/>
      <c r="G78" s="1465"/>
      <c r="H78" s="1465"/>
      <c r="I78" s="1465"/>
      <c r="J78" s="1465"/>
    </row>
    <row r="79" spans="1:10" ht="15">
      <c r="A79" s="1465" t="s">
        <v>298</v>
      </c>
      <c r="B79" s="1465"/>
      <c r="C79" s="1465"/>
      <c r="D79" s="1465"/>
      <c r="E79" s="1465"/>
      <c r="F79" s="1465"/>
      <c r="G79" s="1465"/>
      <c r="H79" s="1465"/>
      <c r="I79" s="1465"/>
      <c r="J79" s="1465"/>
    </row>
    <row r="80" spans="1:10" ht="15">
      <c r="A80" s="1465" t="s">
        <v>299</v>
      </c>
      <c r="B80" s="1465"/>
      <c r="C80" s="1465"/>
      <c r="D80" s="1465"/>
      <c r="E80" s="1465"/>
      <c r="F80" s="1465"/>
      <c r="G80" s="1465"/>
      <c r="H80" s="1465"/>
      <c r="I80" s="1465"/>
      <c r="J80" s="1465"/>
    </row>
    <row r="81" spans="1:10" ht="15">
      <c r="A81" s="1465" t="s">
        <v>300</v>
      </c>
      <c r="B81" s="1465"/>
      <c r="C81" s="1465"/>
      <c r="D81" s="1465"/>
      <c r="E81" s="1465"/>
      <c r="F81" s="1465"/>
      <c r="G81" s="1465"/>
      <c r="H81" s="1465"/>
      <c r="I81" s="1465"/>
      <c r="J81" s="1465"/>
    </row>
    <row r="82" spans="1:10" ht="15">
      <c r="A82" s="1465" t="s">
        <v>301</v>
      </c>
      <c r="B82" s="1465"/>
      <c r="C82" s="1465"/>
      <c r="D82" s="1465"/>
      <c r="E82" s="1465"/>
      <c r="F82" s="1465"/>
      <c r="G82" s="1465"/>
      <c r="H82" s="1465"/>
      <c r="I82" s="1465"/>
      <c r="J82" s="1465"/>
    </row>
    <row r="83" spans="1:10" ht="15.75">
      <c r="A83" s="1494" t="s">
        <v>302</v>
      </c>
      <c r="B83" s="1465"/>
      <c r="C83" s="1465"/>
      <c r="D83" s="1465"/>
      <c r="E83" s="1465"/>
      <c r="F83" s="1465"/>
      <c r="G83" s="1465"/>
      <c r="H83" s="1465"/>
      <c r="I83" s="1465"/>
      <c r="J83" s="1465"/>
    </row>
    <row r="84" spans="1:10" ht="15.75">
      <c r="A84" s="1494"/>
      <c r="B84" s="1465"/>
      <c r="C84" s="1465"/>
      <c r="D84" s="1465"/>
      <c r="E84" s="1465"/>
      <c r="F84" s="1465"/>
      <c r="G84" s="1465"/>
      <c r="H84" s="1465"/>
      <c r="I84" s="1465"/>
      <c r="J84" s="1465"/>
    </row>
    <row r="85" spans="1:10" ht="15.75">
      <c r="A85" s="1494"/>
      <c r="B85" s="1465"/>
      <c r="C85" s="1465"/>
      <c r="D85" s="1465"/>
      <c r="E85" s="1465"/>
      <c r="F85" s="1465"/>
      <c r="G85" s="1465"/>
      <c r="H85" s="1465"/>
      <c r="I85" s="1465"/>
      <c r="J85" s="1465"/>
    </row>
    <row r="86" spans="1:10" ht="15.75">
      <c r="A86" s="1494"/>
      <c r="B86" s="1465"/>
      <c r="C86" s="1465"/>
      <c r="D86" s="1465"/>
      <c r="E86" s="1465"/>
      <c r="F86" s="1465"/>
      <c r="G86" s="1465"/>
      <c r="H86" s="1465"/>
      <c r="I86" s="1465"/>
      <c r="J86" s="1465"/>
    </row>
    <row r="87" spans="1:10" ht="15.75">
      <c r="A87" s="1494"/>
      <c r="B87" s="1465"/>
      <c r="C87" s="1465"/>
      <c r="D87" s="1465"/>
      <c r="E87" s="1465"/>
      <c r="F87" s="1465"/>
      <c r="G87" s="1465"/>
      <c r="H87" s="1465"/>
      <c r="I87" s="1465"/>
      <c r="J87" s="1465"/>
    </row>
    <row r="88" spans="1:10" ht="15.75">
      <c r="A88" s="1494"/>
      <c r="B88" s="1465"/>
      <c r="C88" s="1465"/>
      <c r="D88" s="1465"/>
      <c r="E88" s="1465"/>
      <c r="F88" s="1465"/>
      <c r="G88" s="1465"/>
      <c r="H88" s="1465"/>
      <c r="I88" s="1465"/>
      <c r="J88" s="1465"/>
    </row>
    <row r="89" spans="1:10" ht="15.75">
      <c r="A89" s="1494"/>
      <c r="B89" s="1465"/>
      <c r="C89" s="1465"/>
      <c r="D89" s="1465"/>
      <c r="E89" s="1465"/>
      <c r="F89" s="1465"/>
      <c r="G89" s="1465"/>
      <c r="H89" s="1465"/>
      <c r="I89" s="1465"/>
      <c r="J89" s="1465"/>
    </row>
    <row r="90" spans="1:10" ht="15.75">
      <c r="A90" s="1494"/>
      <c r="B90" s="1465"/>
      <c r="C90" s="1465"/>
      <c r="D90" s="1465"/>
      <c r="E90" s="1465"/>
      <c r="F90" s="1465"/>
      <c r="G90" s="1465"/>
      <c r="H90" s="1465"/>
      <c r="I90" s="1465"/>
      <c r="J90" s="1465"/>
    </row>
    <row r="91" spans="1:10" ht="15.75">
      <c r="A91" s="1494"/>
      <c r="B91" s="1465"/>
      <c r="C91" s="1465"/>
      <c r="D91" s="1465"/>
      <c r="E91" s="1465"/>
      <c r="F91" s="1465"/>
      <c r="G91" s="1465"/>
      <c r="H91" s="1465"/>
      <c r="I91" s="1465"/>
      <c r="J91" s="1465"/>
    </row>
    <row r="92" spans="1:10" ht="15.75">
      <c r="A92" s="1494"/>
      <c r="B92" s="1465"/>
      <c r="C92" s="1465"/>
      <c r="D92" s="1465"/>
      <c r="E92" s="1465"/>
      <c r="F92" s="1465"/>
      <c r="G92" s="1465"/>
      <c r="H92" s="1465"/>
      <c r="I92" s="1465"/>
      <c r="J92" s="1465"/>
    </row>
    <row r="93" spans="1:10" ht="15.75">
      <c r="A93" s="1494"/>
      <c r="B93" s="1465"/>
      <c r="C93" s="1465"/>
      <c r="D93" s="1465"/>
      <c r="E93" s="1465"/>
      <c r="F93" s="1465"/>
      <c r="G93" s="1465"/>
      <c r="H93" s="1465"/>
      <c r="I93" s="1465"/>
      <c r="J93" s="1465"/>
    </row>
    <row r="94" spans="1:10" ht="15.75">
      <c r="A94" s="1494"/>
      <c r="B94" s="1465"/>
      <c r="C94" s="1465"/>
      <c r="D94" s="1465"/>
      <c r="E94" s="1465"/>
      <c r="F94" s="1465"/>
      <c r="G94" s="1465"/>
      <c r="H94" s="1465"/>
      <c r="I94" s="1465"/>
      <c r="J94" s="1465"/>
    </row>
    <row r="95" spans="1:10" ht="15.75">
      <c r="A95" s="1494"/>
      <c r="B95" s="1465"/>
      <c r="C95" s="1465"/>
      <c r="D95" s="1465"/>
      <c r="E95" s="1465"/>
      <c r="F95" s="1465"/>
      <c r="G95" s="1465"/>
      <c r="H95" s="1465"/>
      <c r="I95" s="1465"/>
      <c r="J95" s="1465"/>
    </row>
    <row r="96" spans="1:10" ht="15">
      <c r="A96" s="1465"/>
      <c r="B96" s="1465"/>
      <c r="C96" s="1465"/>
      <c r="D96" s="1465"/>
      <c r="E96" s="1465"/>
      <c r="F96" s="1465"/>
      <c r="G96" s="1465"/>
      <c r="H96" s="1465"/>
      <c r="I96" s="1465"/>
      <c r="J96" s="1465"/>
    </row>
    <row r="97" spans="1:10" ht="15">
      <c r="A97" s="1465"/>
      <c r="B97" s="1465"/>
      <c r="C97" s="1465"/>
      <c r="D97" s="1465"/>
      <c r="E97" s="1465"/>
      <c r="F97" s="1465"/>
      <c r="G97" s="1465"/>
      <c r="H97" s="1465"/>
      <c r="I97" s="1465"/>
      <c r="J97" s="1465"/>
    </row>
    <row r="98" spans="1:10" ht="15">
      <c r="A98" s="1465"/>
      <c r="B98" s="1465"/>
      <c r="C98" s="1465"/>
      <c r="D98" s="1465"/>
      <c r="E98" s="1465"/>
      <c r="F98" s="1465"/>
      <c r="G98" s="1465"/>
      <c r="H98" s="1465"/>
      <c r="I98" s="1465"/>
      <c r="J98" s="1465"/>
    </row>
    <row r="99" spans="1:10" ht="15.75">
      <c r="A99" s="1465"/>
      <c r="B99" s="1465"/>
      <c r="C99" s="1465"/>
      <c r="D99" s="1465"/>
      <c r="E99" s="369" t="s">
        <v>303</v>
      </c>
      <c r="F99" s="1465"/>
      <c r="G99" s="1465"/>
      <c r="H99" s="1465"/>
      <c r="I99" s="1465"/>
      <c r="J99" s="1465"/>
    </row>
    <row r="100" spans="1:10" ht="15">
      <c r="A100" s="1465"/>
      <c r="B100" s="1465"/>
      <c r="C100" s="1465"/>
      <c r="D100" s="1465"/>
      <c r="E100" s="1465"/>
      <c r="F100" s="1465" t="s">
        <v>304</v>
      </c>
      <c r="G100" s="1465"/>
      <c r="H100" s="1465"/>
      <c r="I100" s="1465"/>
      <c r="J100" s="1465"/>
    </row>
    <row r="101" spans="1:10" ht="15">
      <c r="A101" s="1465"/>
      <c r="B101" s="1465"/>
      <c r="C101" s="1465"/>
      <c r="D101" s="1465"/>
      <c r="E101" s="1465"/>
      <c r="F101" s="1465"/>
      <c r="G101" s="1465"/>
      <c r="H101" s="1465"/>
      <c r="I101" s="1465"/>
      <c r="J101" s="1465"/>
    </row>
    <row r="102" spans="1:10" ht="15.75">
      <c r="A102" s="1817" t="s">
        <v>303</v>
      </c>
      <c r="B102" s="1817"/>
      <c r="C102" s="1817"/>
      <c r="D102" s="1817"/>
      <c r="E102" s="311" t="s">
        <v>4</v>
      </c>
      <c r="F102" s="311" t="s">
        <v>5</v>
      </c>
      <c r="G102" s="1467" t="s">
        <v>268</v>
      </c>
      <c r="H102" s="1467" t="s">
        <v>269</v>
      </c>
      <c r="I102" s="1467" t="s">
        <v>270</v>
      </c>
      <c r="J102" s="1467" t="s">
        <v>271</v>
      </c>
    </row>
    <row r="103" spans="1:10" ht="15">
      <c r="A103" s="196" t="s">
        <v>107</v>
      </c>
      <c r="B103" s="848"/>
      <c r="C103" s="848"/>
      <c r="D103" s="1002"/>
      <c r="E103" s="533">
        <v>0.1</v>
      </c>
      <c r="F103" s="534">
        <v>70</v>
      </c>
      <c r="G103" s="1502"/>
      <c r="H103" s="1502"/>
      <c r="I103" s="1502"/>
      <c r="J103" s="1503"/>
    </row>
    <row r="104" spans="1:10" ht="15">
      <c r="A104" s="27" t="s">
        <v>16</v>
      </c>
      <c r="B104" s="286"/>
      <c r="C104" s="286"/>
      <c r="D104" s="1516"/>
      <c r="E104" s="30">
        <v>0.002</v>
      </c>
      <c r="F104" s="63">
        <v>2</v>
      </c>
      <c r="G104" s="1502"/>
      <c r="H104" s="1502"/>
      <c r="I104" s="1502"/>
      <c r="J104" s="1503"/>
    </row>
    <row r="105" spans="1:10" ht="15">
      <c r="A105" s="1517" t="s">
        <v>37</v>
      </c>
      <c r="B105" s="398"/>
      <c r="C105" s="1518"/>
      <c r="D105" s="1518"/>
      <c r="E105" s="448">
        <v>0.003</v>
      </c>
      <c r="F105" s="449">
        <v>3</v>
      </c>
      <c r="G105" s="1502"/>
      <c r="H105" s="1502"/>
      <c r="I105" s="1502"/>
      <c r="J105" s="1503"/>
    </row>
    <row r="106" spans="1:10" ht="15">
      <c r="A106" s="196" t="s">
        <v>33</v>
      </c>
      <c r="B106" s="197"/>
      <c r="C106" s="197"/>
      <c r="D106" s="383"/>
      <c r="E106" s="199">
        <v>0.015</v>
      </c>
      <c r="F106" s="194">
        <v>13</v>
      </c>
      <c r="G106" s="1502"/>
      <c r="H106" s="1502"/>
      <c r="I106" s="1502"/>
      <c r="J106" s="1503"/>
    </row>
    <row r="107" spans="1:10" ht="15">
      <c r="A107" s="196" t="s">
        <v>34</v>
      </c>
      <c r="B107" s="197"/>
      <c r="C107" s="197"/>
      <c r="D107" s="383"/>
      <c r="E107" s="199">
        <v>0.025</v>
      </c>
      <c r="F107" s="194">
        <v>18</v>
      </c>
      <c r="G107" s="1502"/>
      <c r="H107" s="1502"/>
      <c r="I107" s="1502"/>
      <c r="J107" s="1503"/>
    </row>
    <row r="108" spans="1:10" ht="15">
      <c r="A108" s="217" t="s">
        <v>78</v>
      </c>
      <c r="B108" s="218"/>
      <c r="C108" s="398"/>
      <c r="D108" s="398"/>
      <c r="E108" s="448">
        <v>0.004</v>
      </c>
      <c r="F108" s="449">
        <v>4</v>
      </c>
      <c r="G108" s="1502"/>
      <c r="H108" s="1502"/>
      <c r="I108" s="1502"/>
      <c r="J108" s="1503"/>
    </row>
    <row r="109" spans="1:10" ht="15.75">
      <c r="A109" s="649"/>
      <c r="B109" s="1519"/>
      <c r="C109" s="178"/>
      <c r="D109" s="178"/>
      <c r="E109" s="66"/>
      <c r="F109" s="21"/>
      <c r="G109" s="1520">
        <v>12.63</v>
      </c>
      <c r="H109" s="1520">
        <v>3.78</v>
      </c>
      <c r="I109" s="1520">
        <v>2.93</v>
      </c>
      <c r="J109" s="1521">
        <v>96.3</v>
      </c>
    </row>
    <row r="111" spans="1:10" ht="15">
      <c r="A111" s="1522" t="s">
        <v>305</v>
      </c>
      <c r="B111" s="1495"/>
      <c r="C111" s="1523" t="s">
        <v>306</v>
      </c>
      <c r="D111" s="1495"/>
      <c r="E111" s="1495"/>
      <c r="F111" s="1495"/>
      <c r="G111" s="1495"/>
      <c r="H111" s="1495"/>
      <c r="I111" s="1495"/>
      <c r="J111" s="1495"/>
    </row>
    <row r="112" spans="1:9" ht="15">
      <c r="A112" s="1465" t="s">
        <v>307</v>
      </c>
      <c r="B112" s="1465"/>
      <c r="C112" s="1465"/>
      <c r="D112" s="1465"/>
      <c r="E112" s="1465"/>
      <c r="F112" s="1465"/>
      <c r="G112" s="1465"/>
      <c r="H112" s="1465"/>
      <c r="I112" s="1465"/>
    </row>
    <row r="113" spans="1:9" ht="15">
      <c r="A113" s="1465" t="s">
        <v>308</v>
      </c>
      <c r="B113" s="1465"/>
      <c r="C113" s="1465"/>
      <c r="D113" s="1465"/>
      <c r="E113" s="1465"/>
      <c r="F113" s="1465"/>
      <c r="G113" s="1465"/>
      <c r="H113" s="1465"/>
      <c r="I113" s="1465"/>
    </row>
    <row r="114" spans="1:9" ht="15">
      <c r="A114" s="1465" t="s">
        <v>309</v>
      </c>
      <c r="B114" s="1465"/>
      <c r="C114" s="1465"/>
      <c r="D114" s="1465"/>
      <c r="E114" s="1465"/>
      <c r="F114" s="1465"/>
      <c r="G114" s="1465"/>
      <c r="H114" s="1465"/>
      <c r="I114" s="1465"/>
    </row>
    <row r="115" ht="12.75">
      <c r="A115" s="1"/>
    </row>
    <row r="118" ht="15.75">
      <c r="E118" s="770" t="s">
        <v>310</v>
      </c>
    </row>
    <row r="119" ht="12.75">
      <c r="E119" t="s">
        <v>291</v>
      </c>
    </row>
    <row r="121" spans="1:10" ht="15.75">
      <c r="A121" s="1524" t="s">
        <v>310</v>
      </c>
      <c r="B121" s="1525"/>
      <c r="C121" s="1526"/>
      <c r="D121" s="1527">
        <v>50</v>
      </c>
      <c r="E121" s="311" t="s">
        <v>4</v>
      </c>
      <c r="F121" s="311" t="s">
        <v>5</v>
      </c>
      <c r="G121" s="1467" t="s">
        <v>268</v>
      </c>
      <c r="H121" s="1467" t="s">
        <v>269</v>
      </c>
      <c r="I121" s="1467" t="s">
        <v>270</v>
      </c>
      <c r="J121" s="1467" t="s">
        <v>271</v>
      </c>
    </row>
    <row r="122" spans="1:10" ht="15">
      <c r="A122" s="1528" t="s">
        <v>310</v>
      </c>
      <c r="B122" s="1529"/>
      <c r="C122" s="1530"/>
      <c r="D122" s="1531"/>
      <c r="E122" s="1532">
        <v>0.05</v>
      </c>
      <c r="F122" s="1531">
        <v>50</v>
      </c>
      <c r="G122" s="78"/>
      <c r="H122" s="78"/>
      <c r="I122" s="78"/>
      <c r="J122" s="762"/>
    </row>
    <row r="123" spans="1:10" ht="15">
      <c r="A123" s="1533" t="s">
        <v>37</v>
      </c>
      <c r="B123" s="1534"/>
      <c r="C123" s="1535"/>
      <c r="D123" s="1536"/>
      <c r="E123" s="1537">
        <v>0.002</v>
      </c>
      <c r="F123" s="1536">
        <v>2</v>
      </c>
      <c r="G123" s="83"/>
      <c r="H123" s="83"/>
      <c r="I123" s="83"/>
      <c r="J123" s="1538"/>
    </row>
    <row r="124" spans="1:10" ht="12.75">
      <c r="A124" s="1276"/>
      <c r="B124" s="1279"/>
      <c r="C124" s="1279"/>
      <c r="D124" s="1277"/>
      <c r="E124" s="1150"/>
      <c r="F124" s="1151"/>
      <c r="G124" s="1514">
        <v>0.5</v>
      </c>
      <c r="H124" s="1514">
        <v>5.5</v>
      </c>
      <c r="I124" s="1514">
        <v>3.5</v>
      </c>
      <c r="J124" s="1515">
        <v>66.48</v>
      </c>
    </row>
    <row r="125" spans="1:6" ht="12.75">
      <c r="A125" s="221"/>
      <c r="B125" s="221"/>
      <c r="C125" s="57"/>
      <c r="D125" s="57"/>
      <c r="E125" s="563"/>
      <c r="F125" s="57"/>
    </row>
    <row r="126" spans="1:4" ht="15">
      <c r="A126" s="1522" t="s">
        <v>305</v>
      </c>
      <c r="D126" s="1523" t="s">
        <v>311</v>
      </c>
    </row>
    <row r="127" ht="14.25">
      <c r="A127" s="1495" t="s">
        <v>312</v>
      </c>
    </row>
    <row r="128" ht="12.75">
      <c r="A128" s="1"/>
    </row>
    <row r="130" spans="1:5" ht="15.75">
      <c r="A130" s="1"/>
      <c r="E130" s="369" t="s">
        <v>313</v>
      </c>
    </row>
    <row r="131" ht="12.75">
      <c r="E131" t="s">
        <v>314</v>
      </c>
    </row>
    <row r="133" spans="1:10" ht="15.75">
      <c r="A133" s="1817" t="s">
        <v>313</v>
      </c>
      <c r="B133" s="1817"/>
      <c r="C133" s="1817"/>
      <c r="D133" s="927">
        <v>70</v>
      </c>
      <c r="E133" s="311" t="s">
        <v>4</v>
      </c>
      <c r="F133" s="311" t="s">
        <v>5</v>
      </c>
      <c r="G133" s="1467" t="s">
        <v>268</v>
      </c>
      <c r="H133" s="1467" t="s">
        <v>269</v>
      </c>
      <c r="I133" s="1467" t="s">
        <v>270</v>
      </c>
      <c r="J133" s="1467" t="s">
        <v>271</v>
      </c>
    </row>
    <row r="134" spans="1:10" ht="12.75">
      <c r="A134" s="68" t="s">
        <v>36</v>
      </c>
      <c r="B134" s="69"/>
      <c r="C134" s="69"/>
      <c r="D134" s="1072"/>
      <c r="E134" s="851">
        <v>0.09</v>
      </c>
      <c r="F134" s="852">
        <v>80</v>
      </c>
      <c r="G134" s="78"/>
      <c r="H134" s="78"/>
      <c r="I134" s="78"/>
      <c r="J134" s="762"/>
    </row>
    <row r="135" spans="1:10" ht="12.75">
      <c r="A135" s="217" t="s">
        <v>16</v>
      </c>
      <c r="B135" s="218"/>
      <c r="C135" s="218"/>
      <c r="D135" s="1449"/>
      <c r="E135" s="448">
        <v>0.002</v>
      </c>
      <c r="F135" s="449">
        <v>2</v>
      </c>
      <c r="G135" s="78"/>
      <c r="H135" s="78"/>
      <c r="I135" s="78"/>
      <c r="J135" s="762"/>
    </row>
    <row r="136" spans="1:10" ht="12.75">
      <c r="A136" s="68" t="s">
        <v>76</v>
      </c>
      <c r="B136" s="69"/>
      <c r="C136" s="69"/>
      <c r="D136" s="1072"/>
      <c r="E136" s="448">
        <v>0.003</v>
      </c>
      <c r="F136" s="449">
        <v>3</v>
      </c>
      <c r="G136" s="78"/>
      <c r="H136" s="78"/>
      <c r="I136" s="78"/>
      <c r="J136" s="762"/>
    </row>
    <row r="137" spans="1:10" ht="12.75">
      <c r="A137" s="68" t="s">
        <v>18</v>
      </c>
      <c r="B137" s="69"/>
      <c r="C137" s="69"/>
      <c r="D137" s="1072"/>
      <c r="E137" s="448">
        <v>0.03</v>
      </c>
      <c r="F137" s="449">
        <v>30</v>
      </c>
      <c r="G137" s="78"/>
      <c r="H137" s="78"/>
      <c r="I137" s="78"/>
      <c r="J137" s="762"/>
    </row>
    <row r="138" spans="1:10" ht="12.75">
      <c r="A138" s="68" t="s">
        <v>46</v>
      </c>
      <c r="B138" s="69"/>
      <c r="C138" s="69"/>
      <c r="D138" s="1072"/>
      <c r="E138" s="562">
        <v>0.012</v>
      </c>
      <c r="F138" s="564">
        <v>10</v>
      </c>
      <c r="G138" s="78"/>
      <c r="H138" s="78"/>
      <c r="I138" s="78"/>
      <c r="J138" s="762"/>
    </row>
    <row r="139" spans="1:10" ht="12.75">
      <c r="A139" s="68" t="s">
        <v>37</v>
      </c>
      <c r="B139" s="69"/>
      <c r="C139" s="69"/>
      <c r="D139" s="1072"/>
      <c r="E139" s="433">
        <v>0.002</v>
      </c>
      <c r="F139" s="434">
        <v>2</v>
      </c>
      <c r="G139" s="78"/>
      <c r="H139" s="78"/>
      <c r="I139" s="78"/>
      <c r="J139" s="762"/>
    </row>
    <row r="140" spans="1:10" ht="12.75">
      <c r="A140" s="346"/>
      <c r="B140" s="177"/>
      <c r="C140" s="177"/>
      <c r="D140" s="927"/>
      <c r="E140" s="651"/>
      <c r="F140" s="652"/>
      <c r="G140" s="1514">
        <v>17.36</v>
      </c>
      <c r="H140" s="1514">
        <v>18.19</v>
      </c>
      <c r="I140" s="1514">
        <v>3.64</v>
      </c>
      <c r="J140" s="1515">
        <v>249.34</v>
      </c>
    </row>
    <row r="141" spans="1:6" ht="12.75">
      <c r="A141" s="286"/>
      <c r="B141" s="286"/>
      <c r="C141" s="286"/>
      <c r="D141" s="286"/>
      <c r="E141" s="270"/>
      <c r="F141" s="28"/>
    </row>
    <row r="142" spans="1:6" ht="15.75">
      <c r="A142" s="1539" t="s">
        <v>315</v>
      </c>
      <c r="B142" s="286"/>
      <c r="C142" s="286"/>
      <c r="D142" s="286"/>
      <c r="E142" s="270"/>
      <c r="F142" s="28"/>
    </row>
    <row r="143" spans="1:10" ht="15">
      <c r="A143" s="370" t="s">
        <v>316</v>
      </c>
      <c r="B143" s="370"/>
      <c r="C143" s="370"/>
      <c r="D143" s="370"/>
      <c r="E143" s="1540"/>
      <c r="F143" s="1541"/>
      <c r="G143" s="1465"/>
      <c r="H143" s="1465"/>
      <c r="I143" s="1465"/>
      <c r="J143" s="1465"/>
    </row>
    <row r="144" spans="1:10" ht="15">
      <c r="A144" s="370" t="s">
        <v>317</v>
      </c>
      <c r="B144" s="370"/>
      <c r="C144" s="370"/>
      <c r="D144" s="370"/>
      <c r="E144" s="1540"/>
      <c r="F144" s="1541"/>
      <c r="G144" s="1465"/>
      <c r="H144" s="1465"/>
      <c r="I144" s="1465"/>
      <c r="J144" s="1465"/>
    </row>
    <row r="145" spans="1:10" ht="15">
      <c r="A145" s="1465" t="s">
        <v>318</v>
      </c>
      <c r="B145" s="1465"/>
      <c r="C145" s="1465"/>
      <c r="D145" s="1465"/>
      <c r="E145" s="1465"/>
      <c r="F145" s="1465"/>
      <c r="G145" s="1465"/>
      <c r="H145" s="1465"/>
      <c r="I145" s="1465"/>
      <c r="J145" s="1465"/>
    </row>
    <row r="146" spans="1:10" ht="15.75">
      <c r="A146" s="1494" t="s">
        <v>319</v>
      </c>
      <c r="B146" s="1465"/>
      <c r="C146" s="1465"/>
      <c r="D146" s="1465"/>
      <c r="E146" s="1465"/>
      <c r="F146" s="1465"/>
      <c r="G146" s="1465"/>
      <c r="H146" s="1465"/>
      <c r="I146" s="1465"/>
      <c r="J146" s="1465"/>
    </row>
    <row r="147" spans="1:10" ht="15">
      <c r="A147" s="1465" t="s">
        <v>320</v>
      </c>
      <c r="B147" s="1465"/>
      <c r="C147" s="1465"/>
      <c r="D147" s="1465"/>
      <c r="E147" s="1465"/>
      <c r="F147" s="1465"/>
      <c r="G147" s="1465"/>
      <c r="H147" s="1465"/>
      <c r="I147" s="1465"/>
      <c r="J147" s="1465"/>
    </row>
    <row r="148" spans="1:10" ht="15">
      <c r="A148" s="1465"/>
      <c r="B148" s="1465"/>
      <c r="C148" s="1465"/>
      <c r="D148" s="1465"/>
      <c r="E148" s="1465"/>
      <c r="F148" s="1465"/>
      <c r="G148" s="1465"/>
      <c r="H148" s="1465"/>
      <c r="I148" s="1465"/>
      <c r="J148" s="1465"/>
    </row>
    <row r="149" spans="1:10" ht="15.75">
      <c r="A149" s="1465"/>
      <c r="B149" s="1465"/>
      <c r="C149" s="1465"/>
      <c r="D149" s="1465"/>
      <c r="E149" s="657" t="s">
        <v>321</v>
      </c>
      <c r="F149" s="657"/>
      <c r="G149" s="657"/>
      <c r="H149" s="1465"/>
      <c r="I149" s="1465"/>
      <c r="J149" s="1465"/>
    </row>
    <row r="150" spans="1:10" ht="15">
      <c r="A150" s="1465"/>
      <c r="B150" s="1465"/>
      <c r="C150" s="1465"/>
      <c r="D150" s="1465"/>
      <c r="E150" s="206" t="s">
        <v>266</v>
      </c>
      <c r="F150" s="1465"/>
      <c r="G150" s="1465"/>
      <c r="H150" s="1465"/>
      <c r="I150" s="1465"/>
      <c r="J150" s="1465"/>
    </row>
    <row r="151" spans="1:10" ht="15">
      <c r="A151" s="1465"/>
      <c r="B151" s="1465"/>
      <c r="C151" s="1465"/>
      <c r="D151" s="1465"/>
      <c r="E151" s="1465"/>
      <c r="F151" s="1465"/>
      <c r="G151" s="1465"/>
      <c r="H151" s="1465"/>
      <c r="I151" s="1465"/>
      <c r="J151" s="1465"/>
    </row>
    <row r="152" spans="1:10" ht="15.75">
      <c r="A152" s="1780" t="s">
        <v>321</v>
      </c>
      <c r="B152" s="1780"/>
      <c r="C152" s="1780"/>
      <c r="D152" s="1066">
        <v>100</v>
      </c>
      <c r="E152" s="311" t="s">
        <v>4</v>
      </c>
      <c r="F152" s="311" t="s">
        <v>5</v>
      </c>
      <c r="G152" s="1467" t="s">
        <v>268</v>
      </c>
      <c r="H152" s="1467" t="s">
        <v>269</v>
      </c>
      <c r="I152" s="1467" t="s">
        <v>270</v>
      </c>
      <c r="J152" s="1467" t="s">
        <v>271</v>
      </c>
    </row>
    <row r="153" spans="1:10" ht="15">
      <c r="A153" s="933" t="s">
        <v>37</v>
      </c>
      <c r="B153" s="934"/>
      <c r="C153" s="935"/>
      <c r="D153" s="73"/>
      <c r="E153" s="936">
        <v>0.003</v>
      </c>
      <c r="F153" s="937">
        <v>3</v>
      </c>
      <c r="G153" s="1502"/>
      <c r="H153" s="1502"/>
      <c r="I153" s="1502"/>
      <c r="J153" s="1503"/>
    </row>
    <row r="154" spans="1:10" ht="15">
      <c r="A154" s="68" t="s">
        <v>16</v>
      </c>
      <c r="B154" s="70"/>
      <c r="C154" s="70"/>
      <c r="D154" s="78"/>
      <c r="E154" s="448">
        <v>0.005</v>
      </c>
      <c r="F154" s="449">
        <v>5</v>
      </c>
      <c r="G154" s="1502"/>
      <c r="H154" s="1502"/>
      <c r="I154" s="1502"/>
      <c r="J154" s="1503"/>
    </row>
    <row r="155" spans="1:10" ht="15">
      <c r="A155" s="589" t="s">
        <v>18</v>
      </c>
      <c r="B155" s="590"/>
      <c r="C155" s="590"/>
      <c r="D155" s="337"/>
      <c r="E155" s="51">
        <v>0.03</v>
      </c>
      <c r="F155" s="52">
        <v>30</v>
      </c>
      <c r="G155" s="1502"/>
      <c r="H155" s="1502"/>
      <c r="I155" s="1502"/>
      <c r="J155" s="1503"/>
    </row>
    <row r="156" spans="1:10" ht="15">
      <c r="A156" s="589" t="s">
        <v>76</v>
      </c>
      <c r="B156" s="591"/>
      <c r="C156" s="940"/>
      <c r="D156" s="96"/>
      <c r="E156" s="51">
        <v>0.04</v>
      </c>
      <c r="F156" s="52">
        <v>40</v>
      </c>
      <c r="G156" s="1502"/>
      <c r="H156" s="1502"/>
      <c r="I156" s="1502"/>
      <c r="J156" s="1503"/>
    </row>
    <row r="157" spans="1:10" ht="15">
      <c r="A157" s="589" t="s">
        <v>46</v>
      </c>
      <c r="B157" s="591"/>
      <c r="C157" s="940"/>
      <c r="D157" s="96"/>
      <c r="E157" s="562">
        <v>0.008</v>
      </c>
      <c r="F157" s="564">
        <v>7</v>
      </c>
      <c r="G157" s="1502"/>
      <c r="H157" s="1502"/>
      <c r="I157" s="1502"/>
      <c r="J157" s="1503"/>
    </row>
    <row r="158" spans="1:10" ht="15">
      <c r="A158" s="68" t="s">
        <v>17</v>
      </c>
      <c r="B158" s="70"/>
      <c r="C158" s="70"/>
      <c r="D158" s="78"/>
      <c r="E158" s="448">
        <v>0.006</v>
      </c>
      <c r="F158" s="449">
        <v>6</v>
      </c>
      <c r="G158" s="1502"/>
      <c r="H158" s="1502"/>
      <c r="I158" s="1502"/>
      <c r="J158" s="1503"/>
    </row>
    <row r="159" spans="1:10" ht="12.75">
      <c r="A159" s="68" t="s">
        <v>134</v>
      </c>
      <c r="B159" s="70"/>
      <c r="C159" s="70"/>
      <c r="D159" s="1542"/>
      <c r="E159" s="760">
        <v>0.0005</v>
      </c>
      <c r="F159" s="78">
        <v>0.5</v>
      </c>
      <c r="G159" s="78"/>
      <c r="H159" s="78"/>
      <c r="I159" s="78"/>
      <c r="J159" s="762"/>
    </row>
    <row r="160" spans="1:10" ht="12.75">
      <c r="A160" s="37" t="s">
        <v>322</v>
      </c>
      <c r="B160" s="38"/>
      <c r="C160" s="39"/>
      <c r="D160" s="1543"/>
      <c r="E160" s="30">
        <v>0.03</v>
      </c>
      <c r="F160" s="42">
        <v>30</v>
      </c>
      <c r="G160" s="78"/>
      <c r="H160" s="78"/>
      <c r="I160" s="78"/>
      <c r="J160" s="762"/>
    </row>
    <row r="161" spans="1:10" ht="12.75">
      <c r="A161" s="1780"/>
      <c r="B161" s="1780"/>
      <c r="C161" s="1780"/>
      <c r="D161" s="1066"/>
      <c r="E161" s="282"/>
      <c r="F161" s="282"/>
      <c r="G161" s="1514">
        <v>6.2</v>
      </c>
      <c r="H161" s="1514">
        <v>5.48</v>
      </c>
      <c r="I161" s="1514">
        <v>54.98</v>
      </c>
      <c r="J161" s="1515">
        <v>325.9</v>
      </c>
    </row>
    <row r="162" spans="1:6" ht="12.75">
      <c r="A162" s="286"/>
      <c r="B162" s="28"/>
      <c r="C162" s="28"/>
      <c r="D162" s="28"/>
      <c r="E162" s="270"/>
      <c r="F162" s="28"/>
    </row>
    <row r="163" spans="1:11" ht="15.75">
      <c r="A163" s="1539" t="s">
        <v>305</v>
      </c>
      <c r="B163" s="1510"/>
      <c r="D163" s="1544" t="s">
        <v>323</v>
      </c>
      <c r="F163" s="1510"/>
      <c r="G163" s="1510"/>
      <c r="H163" s="1510"/>
      <c r="I163" s="1510"/>
      <c r="J163" s="1510"/>
      <c r="K163" s="1510"/>
    </row>
    <row r="164" spans="1:11" ht="15">
      <c r="A164" s="1545" t="s">
        <v>324</v>
      </c>
      <c r="B164" s="1510"/>
      <c r="C164" s="1510"/>
      <c r="D164" s="1510"/>
      <c r="E164" s="1510"/>
      <c r="F164" s="1510"/>
      <c r="G164" s="1510"/>
      <c r="H164" s="1510"/>
      <c r="I164" s="1510"/>
      <c r="J164" s="1510"/>
      <c r="K164" s="1510"/>
    </row>
    <row r="165" spans="1:11" ht="15">
      <c r="A165" s="1510" t="s">
        <v>325</v>
      </c>
      <c r="B165" s="1510"/>
      <c r="C165" s="1510"/>
      <c r="D165" s="1510"/>
      <c r="E165" s="1510"/>
      <c r="F165" s="1510"/>
      <c r="G165" s="1510"/>
      <c r="H165" s="1510"/>
      <c r="I165" s="1510"/>
      <c r="J165" s="1510"/>
      <c r="K165" s="1510"/>
    </row>
    <row r="166" spans="1:11" ht="15">
      <c r="A166" s="1510" t="s">
        <v>326</v>
      </c>
      <c r="B166" s="1510"/>
      <c r="C166" s="1510"/>
      <c r="D166" s="1510"/>
      <c r="E166" s="1510"/>
      <c r="F166" s="1510"/>
      <c r="G166" s="1510"/>
      <c r="H166" s="1510"/>
      <c r="I166" s="1510"/>
      <c r="J166" s="1510"/>
      <c r="K166" s="1510"/>
    </row>
    <row r="167" spans="1:11" ht="15">
      <c r="A167" s="1510" t="s">
        <v>327</v>
      </c>
      <c r="B167" s="1510"/>
      <c r="C167" s="1510"/>
      <c r="D167" s="1510"/>
      <c r="E167" s="1510"/>
      <c r="F167" s="1510"/>
      <c r="G167" s="1510"/>
      <c r="H167" s="1510"/>
      <c r="I167" s="1510"/>
      <c r="J167" s="1510"/>
      <c r="K167" s="1510"/>
    </row>
    <row r="168" spans="1:11" ht="15.75">
      <c r="A168" s="1539"/>
      <c r="B168" s="1510"/>
      <c r="C168" s="1546"/>
      <c r="D168" s="1510"/>
      <c r="E168" s="1510"/>
      <c r="F168" s="1510"/>
      <c r="G168" s="1510"/>
      <c r="H168" s="1510"/>
      <c r="I168" s="1510"/>
      <c r="J168" s="1510"/>
      <c r="K168" s="1510"/>
    </row>
    <row r="169" spans="1:11" ht="15.75">
      <c r="A169" s="1539"/>
      <c r="B169" s="1510"/>
      <c r="C169" s="1546"/>
      <c r="D169" s="1510"/>
      <c r="E169" s="1510"/>
      <c r="F169" s="1510"/>
      <c r="G169" s="1510"/>
      <c r="H169" s="1510"/>
      <c r="I169" s="1510"/>
      <c r="J169" s="1510"/>
      <c r="K169" s="1510"/>
    </row>
    <row r="170" spans="1:11" ht="15.75">
      <c r="A170" s="1539"/>
      <c r="B170" s="1510"/>
      <c r="C170" s="1546"/>
      <c r="D170" s="1879" t="s">
        <v>328</v>
      </c>
      <c r="E170" s="1879"/>
      <c r="F170" s="1879"/>
      <c r="I170" s="1510"/>
      <c r="J170" s="1510"/>
      <c r="K170" s="1510"/>
    </row>
    <row r="171" spans="1:11" ht="15.75">
      <c r="A171" s="1539"/>
      <c r="B171" s="1510"/>
      <c r="C171" s="1546"/>
      <c r="D171" s="1522" t="s">
        <v>329</v>
      </c>
      <c r="E171" s="1510"/>
      <c r="F171" s="1510"/>
      <c r="I171" s="1510"/>
      <c r="J171" s="1510"/>
      <c r="K171" s="1510"/>
    </row>
    <row r="172" spans="1:11" ht="15.75">
      <c r="A172" s="1539"/>
      <c r="B172" s="1510"/>
      <c r="C172" s="1546"/>
      <c r="D172" s="1510"/>
      <c r="E172" s="1510"/>
      <c r="F172" s="1510"/>
      <c r="G172" s="1510"/>
      <c r="H172" s="1510"/>
      <c r="I172" s="1510"/>
      <c r="J172" s="1510"/>
      <c r="K172" s="1510"/>
    </row>
    <row r="173" spans="1:11" ht="15.75">
      <c r="A173" s="1780" t="s">
        <v>328</v>
      </c>
      <c r="B173" s="1780"/>
      <c r="C173" s="1780"/>
      <c r="D173" s="1067">
        <v>200</v>
      </c>
      <c r="E173" s="311" t="s">
        <v>4</v>
      </c>
      <c r="F173" s="311" t="s">
        <v>5</v>
      </c>
      <c r="G173" s="1467" t="s">
        <v>268</v>
      </c>
      <c r="H173" s="1467" t="s">
        <v>269</v>
      </c>
      <c r="I173" s="1467" t="s">
        <v>270</v>
      </c>
      <c r="J173" s="1467" t="s">
        <v>271</v>
      </c>
      <c r="K173" s="1510"/>
    </row>
    <row r="174" spans="1:11" ht="15">
      <c r="A174" s="1547" t="s">
        <v>330</v>
      </c>
      <c r="B174" s="1548"/>
      <c r="C174" s="1549"/>
      <c r="D174" s="511"/>
      <c r="E174" s="533">
        <v>0.012</v>
      </c>
      <c r="F174" s="534">
        <v>12</v>
      </c>
      <c r="G174" s="1550"/>
      <c r="H174" s="1550"/>
      <c r="I174" s="1550"/>
      <c r="J174" s="1551"/>
      <c r="K174" s="1510"/>
    </row>
    <row r="175" spans="1:11" ht="15">
      <c r="A175" s="1547" t="s">
        <v>120</v>
      </c>
      <c r="B175" s="1548"/>
      <c r="C175" s="1549"/>
      <c r="D175" s="511"/>
      <c r="E175" s="533">
        <v>0.005</v>
      </c>
      <c r="F175" s="534">
        <v>5</v>
      </c>
      <c r="G175" s="1550"/>
      <c r="H175" s="1550"/>
      <c r="I175" s="1550"/>
      <c r="J175" s="1551"/>
      <c r="K175" s="1510"/>
    </row>
    <row r="176" spans="1:11" ht="15">
      <c r="A176" s="340" t="s">
        <v>17</v>
      </c>
      <c r="B176" s="493"/>
      <c r="C176" s="542"/>
      <c r="D176" s="755"/>
      <c r="E176" s="544">
        <v>0.012</v>
      </c>
      <c r="F176" s="545">
        <v>12</v>
      </c>
      <c r="G176" s="1550"/>
      <c r="H176" s="1550"/>
      <c r="I176" s="1550"/>
      <c r="J176" s="1551"/>
      <c r="K176" s="1510"/>
    </row>
    <row r="177" spans="1:11" ht="15.75">
      <c r="A177" s="1552"/>
      <c r="B177" s="1553"/>
      <c r="C177" s="1553"/>
      <c r="D177" s="1277"/>
      <c r="E177" s="1151"/>
      <c r="F177" s="1151"/>
      <c r="G177" s="1554">
        <v>0.06</v>
      </c>
      <c r="H177" s="1554">
        <v>0.02</v>
      </c>
      <c r="I177" s="1554">
        <v>12.42</v>
      </c>
      <c r="J177" s="1555">
        <v>51.24</v>
      </c>
      <c r="K177" s="1510"/>
    </row>
    <row r="178" spans="1:11" ht="15">
      <c r="A178" s="221"/>
      <c r="B178" s="221"/>
      <c r="C178" s="221"/>
      <c r="D178" s="221"/>
      <c r="E178" s="563"/>
      <c r="F178" s="57"/>
      <c r="G178" s="1510"/>
      <c r="H178" s="1510"/>
      <c r="I178" s="1510"/>
      <c r="J178" s="1510"/>
      <c r="K178" s="1510"/>
    </row>
    <row r="179" spans="1:11" ht="15.75">
      <c r="A179" s="1539" t="s">
        <v>305</v>
      </c>
      <c r="B179" s="771"/>
      <c r="C179" s="771"/>
      <c r="D179" s="771"/>
      <c r="E179" s="1556"/>
      <c r="F179" s="771"/>
      <c r="G179" s="772"/>
      <c r="H179" s="772"/>
      <c r="I179" s="773"/>
      <c r="J179" s="773"/>
      <c r="K179" s="223"/>
    </row>
    <row r="180" spans="1:11" ht="15">
      <c r="A180" s="1465" t="s">
        <v>331</v>
      </c>
      <c r="B180" s="1465"/>
      <c r="C180" s="1465"/>
      <c r="D180" s="1465"/>
      <c r="E180" s="1465"/>
      <c r="F180" s="1465"/>
      <c r="G180" s="1465"/>
      <c r="H180" s="1465"/>
      <c r="I180" s="1465"/>
      <c r="J180" s="1465"/>
      <c r="K180" s="28"/>
    </row>
    <row r="181" spans="1:11" ht="15">
      <c r="A181" s="1465" t="s">
        <v>332</v>
      </c>
      <c r="B181" s="1465"/>
      <c r="C181" s="1465"/>
      <c r="D181" s="1465"/>
      <c r="E181" s="1465"/>
      <c r="F181" s="1465"/>
      <c r="G181" s="1465"/>
      <c r="H181" s="1465"/>
      <c r="I181" s="1465"/>
      <c r="J181" s="1465"/>
      <c r="K181" s="28"/>
    </row>
    <row r="182" spans="1:11" ht="15">
      <c r="A182" s="1465" t="s">
        <v>333</v>
      </c>
      <c r="B182" s="1465"/>
      <c r="C182" s="1465"/>
      <c r="D182" s="1465"/>
      <c r="E182" s="1465"/>
      <c r="F182" s="1465"/>
      <c r="G182" s="1465"/>
      <c r="H182" s="1465"/>
      <c r="I182" s="1465"/>
      <c r="J182" s="1465"/>
      <c r="K182" s="28"/>
    </row>
    <row r="183" spans="1:10" ht="15.75">
      <c r="A183" s="1539" t="s">
        <v>334</v>
      </c>
      <c r="B183" s="1465"/>
      <c r="C183" s="1465"/>
      <c r="D183" s="1465"/>
      <c r="E183" s="1465"/>
      <c r="F183" s="1465"/>
      <c r="G183" s="1465"/>
      <c r="H183" s="1465"/>
      <c r="I183" s="1465"/>
      <c r="J183" s="1465"/>
    </row>
    <row r="184" spans="1:10" ht="15">
      <c r="A184" s="1465" t="s">
        <v>335</v>
      </c>
      <c r="B184" s="1465"/>
      <c r="C184" s="1465"/>
      <c r="D184" s="1465"/>
      <c r="E184" s="1465"/>
      <c r="F184" s="1465"/>
      <c r="G184" s="1465"/>
      <c r="H184" s="1465"/>
      <c r="I184" s="1465"/>
      <c r="J184" s="1465"/>
    </row>
    <row r="185" spans="1:10" ht="15">
      <c r="A185" s="1465" t="s">
        <v>336</v>
      </c>
      <c r="B185" s="1465"/>
      <c r="C185" s="1465"/>
      <c r="D185" s="1465"/>
      <c r="E185" s="1465"/>
      <c r="F185" s="1465"/>
      <c r="G185" s="1465"/>
      <c r="H185" s="1465"/>
      <c r="I185" s="1465"/>
      <c r="J185" s="1465"/>
    </row>
    <row r="186" spans="1:10" ht="15">
      <c r="A186" s="1465" t="s">
        <v>337</v>
      </c>
      <c r="B186" s="1465"/>
      <c r="C186" s="1465"/>
      <c r="D186" s="1465"/>
      <c r="E186" s="1465"/>
      <c r="F186" s="1465"/>
      <c r="G186" s="1465"/>
      <c r="H186" s="1465"/>
      <c r="I186" s="1465"/>
      <c r="J186" s="1465"/>
    </row>
    <row r="187" spans="1:10" ht="15">
      <c r="A187" s="1465" t="s">
        <v>338</v>
      </c>
      <c r="B187" s="1465"/>
      <c r="C187" s="1465"/>
      <c r="D187" s="1465"/>
      <c r="E187" s="1465"/>
      <c r="F187" s="1465"/>
      <c r="G187" s="1465"/>
      <c r="H187" s="1465"/>
      <c r="I187" s="1465"/>
      <c r="J187" s="1465"/>
    </row>
    <row r="188" spans="1:10" ht="15">
      <c r="A188" s="1465" t="s">
        <v>339</v>
      </c>
      <c r="B188" s="1465"/>
      <c r="C188" s="1465"/>
      <c r="D188" s="1465"/>
      <c r="E188" s="1465"/>
      <c r="F188" s="1465"/>
      <c r="G188" s="1465"/>
      <c r="H188" s="1465"/>
      <c r="I188" s="1465"/>
      <c r="J188" s="1465"/>
    </row>
    <row r="189" spans="1:10" ht="15">
      <c r="A189" s="1465"/>
      <c r="B189" s="1465"/>
      <c r="C189" s="1465"/>
      <c r="D189" s="1465"/>
      <c r="E189" s="1465"/>
      <c r="F189" s="1465"/>
      <c r="G189" s="1465"/>
      <c r="H189" s="1465"/>
      <c r="I189" s="1465"/>
      <c r="J189" s="1465"/>
    </row>
    <row r="190" spans="1:10" ht="15">
      <c r="A190" s="1465"/>
      <c r="B190" s="1465"/>
      <c r="C190" s="1465"/>
      <c r="D190" s="1465"/>
      <c r="E190" s="1465"/>
      <c r="F190" s="1465"/>
      <c r="G190" s="1465"/>
      <c r="H190" s="1465"/>
      <c r="I190" s="1465"/>
      <c r="J190" s="1465"/>
    </row>
    <row r="191" spans="1:10" ht="15">
      <c r="A191" s="1465"/>
      <c r="B191" s="1465"/>
      <c r="C191" s="1465"/>
      <c r="D191" s="1465"/>
      <c r="E191" s="1465"/>
      <c r="F191" s="1465"/>
      <c r="G191" s="1465"/>
      <c r="H191" s="1465"/>
      <c r="I191" s="1465"/>
      <c r="J191" s="1465"/>
    </row>
    <row r="192" spans="1:10" ht="15">
      <c r="A192" s="1465"/>
      <c r="B192" s="1465"/>
      <c r="C192" s="1465"/>
      <c r="D192" s="1465"/>
      <c r="E192" s="1465"/>
      <c r="F192" s="1465"/>
      <c r="G192" s="1465"/>
      <c r="H192" s="1465"/>
      <c r="I192" s="1465"/>
      <c r="J192" s="1465"/>
    </row>
    <row r="193" spans="1:10" ht="15">
      <c r="A193" s="1465"/>
      <c r="B193" s="1465"/>
      <c r="C193" s="1465"/>
      <c r="D193" s="1465"/>
      <c r="E193" s="1465"/>
      <c r="F193" s="1465"/>
      <c r="G193" s="1465"/>
      <c r="H193" s="1465"/>
      <c r="I193" s="1465"/>
      <c r="J193" s="1465"/>
    </row>
    <row r="194" spans="1:10" ht="15">
      <c r="A194" s="1465"/>
      <c r="B194" s="1465"/>
      <c r="C194" s="1465"/>
      <c r="D194" s="1465"/>
      <c r="E194" s="1465"/>
      <c r="F194" s="1465"/>
      <c r="G194" s="1465"/>
      <c r="H194" s="1465"/>
      <c r="I194" s="1465"/>
      <c r="J194" s="1465"/>
    </row>
    <row r="195" spans="1:10" ht="15">
      <c r="A195" s="1465"/>
      <c r="B195" s="1465"/>
      <c r="C195" s="1465"/>
      <c r="D195" s="1465"/>
      <c r="E195" s="1465"/>
      <c r="F195" s="1465"/>
      <c r="G195" s="1465"/>
      <c r="H195" s="1465"/>
      <c r="I195" s="1465"/>
      <c r="J195" s="1465"/>
    </row>
    <row r="196" spans="1:10" ht="15">
      <c r="A196" s="1465"/>
      <c r="B196" s="1465"/>
      <c r="C196" s="1465"/>
      <c r="D196" s="1465"/>
      <c r="E196" s="1465"/>
      <c r="F196" s="1465"/>
      <c r="G196" s="1465"/>
      <c r="H196" s="1465"/>
      <c r="I196" s="1465"/>
      <c r="J196" s="1465"/>
    </row>
    <row r="197" ht="15.75">
      <c r="C197" s="657" t="s">
        <v>340</v>
      </c>
    </row>
    <row r="198" ht="12.75">
      <c r="C198" t="s">
        <v>341</v>
      </c>
    </row>
    <row r="199" spans="1:10" ht="15">
      <c r="A199" s="1465"/>
      <c r="B199" s="1465"/>
      <c r="C199" s="1465"/>
      <c r="D199" s="1465"/>
      <c r="E199" s="1465"/>
      <c r="F199" s="1465"/>
      <c r="G199" s="1465"/>
      <c r="H199" s="1465"/>
      <c r="I199" s="1465"/>
      <c r="J199" s="1465"/>
    </row>
    <row r="200" spans="1:10" ht="15.75">
      <c r="A200" s="1882" t="s">
        <v>342</v>
      </c>
      <c r="B200" s="1882"/>
      <c r="C200" s="1882"/>
      <c r="D200" s="1882"/>
      <c r="E200" s="1557" t="s">
        <v>4</v>
      </c>
      <c r="F200" s="1557" t="s">
        <v>5</v>
      </c>
      <c r="G200" s="1467" t="s">
        <v>268</v>
      </c>
      <c r="H200" s="1467" t="s">
        <v>269</v>
      </c>
      <c r="I200" s="1467" t="s">
        <v>270</v>
      </c>
      <c r="J200" s="1467" t="s">
        <v>271</v>
      </c>
    </row>
    <row r="201" spans="1:10" ht="15">
      <c r="A201" s="733" t="s">
        <v>343</v>
      </c>
      <c r="B201" s="675"/>
      <c r="C201" s="675"/>
      <c r="D201" s="1558"/>
      <c r="E201" s="1559"/>
      <c r="F201" s="1558"/>
      <c r="G201" s="1559"/>
      <c r="H201" s="1560"/>
      <c r="I201" s="1560"/>
      <c r="J201" s="1561"/>
    </row>
    <row r="202" spans="1:10" ht="15">
      <c r="A202" s="1528" t="s">
        <v>16</v>
      </c>
      <c r="B202" s="1529"/>
      <c r="C202" s="1529"/>
      <c r="D202" s="1562"/>
      <c r="E202" s="1562">
        <v>0.002</v>
      </c>
      <c r="F202" s="1563">
        <v>2</v>
      </c>
      <c r="G202" s="1563"/>
      <c r="H202" s="1564"/>
      <c r="I202" s="1564"/>
      <c r="J202" s="1565"/>
    </row>
    <row r="203" spans="1:10" ht="15">
      <c r="A203" s="1566" t="s">
        <v>72</v>
      </c>
      <c r="B203" s="1567"/>
      <c r="C203" s="1567"/>
      <c r="D203" s="1568"/>
      <c r="E203" s="1568">
        <v>0.01</v>
      </c>
      <c r="F203" s="1569">
        <v>10</v>
      </c>
      <c r="G203" s="1569"/>
      <c r="H203" s="1570"/>
      <c r="I203" s="1570"/>
      <c r="J203" s="1571"/>
    </row>
    <row r="204" spans="1:10" ht="15">
      <c r="A204" s="1528" t="s">
        <v>32</v>
      </c>
      <c r="B204" s="1529"/>
      <c r="C204" s="1529"/>
      <c r="D204" s="1562"/>
      <c r="E204" s="1562">
        <v>0.09</v>
      </c>
      <c r="F204" s="1563">
        <v>60</v>
      </c>
      <c r="G204" s="1563"/>
      <c r="H204" s="1570"/>
      <c r="I204" s="1570"/>
      <c r="J204" s="1571"/>
    </row>
    <row r="205" spans="1:10" ht="15">
      <c r="A205" s="1528" t="s">
        <v>33</v>
      </c>
      <c r="B205" s="1529"/>
      <c r="C205" s="1529"/>
      <c r="D205" s="1572"/>
      <c r="E205" s="1562">
        <v>0.015</v>
      </c>
      <c r="F205" s="1563">
        <v>13</v>
      </c>
      <c r="G205" s="1570"/>
      <c r="H205" s="1570"/>
      <c r="I205" s="1570"/>
      <c r="J205" s="1571"/>
    </row>
    <row r="206" spans="1:10" ht="15">
      <c r="A206" s="1573" t="s">
        <v>34</v>
      </c>
      <c r="B206" s="950"/>
      <c r="C206" s="950"/>
      <c r="D206" s="1572"/>
      <c r="E206" s="1572">
        <v>0.025</v>
      </c>
      <c r="F206" s="1570">
        <v>17</v>
      </c>
      <c r="G206" s="1570"/>
      <c r="H206" s="1570"/>
      <c r="I206" s="1570"/>
      <c r="J206" s="1571"/>
    </row>
    <row r="207" spans="1:10" ht="15">
      <c r="A207" s="1574" t="s">
        <v>60</v>
      </c>
      <c r="B207" s="1575"/>
      <c r="C207" s="1575"/>
      <c r="D207" s="1572"/>
      <c r="E207" s="1572">
        <v>0.01</v>
      </c>
      <c r="F207" s="1570">
        <v>10</v>
      </c>
      <c r="G207" s="1570"/>
      <c r="H207" s="1576"/>
      <c r="I207" s="1576"/>
      <c r="J207" s="1577"/>
    </row>
    <row r="208" spans="1:10" ht="15.75">
      <c r="A208" s="1578" t="s">
        <v>344</v>
      </c>
      <c r="B208" s="1506"/>
      <c r="C208" s="1506"/>
      <c r="D208" s="1506"/>
      <c r="E208" s="1506"/>
      <c r="F208" s="1506"/>
      <c r="G208" s="1579">
        <v>3.02</v>
      </c>
      <c r="H208" s="1579">
        <v>4.06</v>
      </c>
      <c r="I208" s="1579">
        <v>19.04</v>
      </c>
      <c r="J208" s="1580">
        <v>125.52</v>
      </c>
    </row>
    <row r="210" spans="1:10" ht="15.75">
      <c r="A210" s="1539" t="s">
        <v>305</v>
      </c>
      <c r="B210" s="1465"/>
      <c r="C210" s="1510"/>
      <c r="D210" s="1465"/>
      <c r="E210" s="1465"/>
      <c r="F210" s="1465"/>
      <c r="G210" s="1465"/>
      <c r="H210" s="1465"/>
      <c r="I210" s="1465"/>
      <c r="J210" s="1465"/>
    </row>
    <row r="211" spans="1:10" ht="15">
      <c r="A211" s="1581" t="s">
        <v>345</v>
      </c>
      <c r="B211" s="1465"/>
      <c r="C211" s="1465"/>
      <c r="D211" s="1465"/>
      <c r="E211" s="1465"/>
      <c r="F211" s="1465"/>
      <c r="G211" s="1465"/>
      <c r="H211" s="1465"/>
      <c r="I211" s="1465"/>
      <c r="J211" s="1465"/>
    </row>
    <row r="212" spans="1:10" ht="15">
      <c r="A212" s="1465" t="s">
        <v>346</v>
      </c>
      <c r="B212" s="1465"/>
      <c r="C212" s="1465"/>
      <c r="D212" s="1465"/>
      <c r="E212" s="1465"/>
      <c r="F212" s="1465"/>
      <c r="G212" s="1465"/>
      <c r="H212" s="1465"/>
      <c r="I212" s="1465"/>
      <c r="J212" s="1465"/>
    </row>
    <row r="213" spans="1:10" ht="15">
      <c r="A213" s="1465" t="s">
        <v>347</v>
      </c>
      <c r="B213" s="1465"/>
      <c r="C213" s="1465"/>
      <c r="D213" s="1465"/>
      <c r="E213" s="1465"/>
      <c r="F213" s="1465"/>
      <c r="G213" s="1465"/>
      <c r="H213" s="1465"/>
      <c r="I213" s="1465"/>
      <c r="J213" s="1465"/>
    </row>
    <row r="214" spans="1:10" ht="15">
      <c r="A214" s="1465" t="s">
        <v>348</v>
      </c>
      <c r="B214" s="1465"/>
      <c r="C214" s="1465"/>
      <c r="D214" s="1465"/>
      <c r="E214" s="1465"/>
      <c r="F214" s="1465"/>
      <c r="G214" s="1465"/>
      <c r="H214" s="1465"/>
      <c r="I214" s="1465"/>
      <c r="J214" s="1465"/>
    </row>
    <row r="215" spans="1:10" ht="15.75">
      <c r="A215" s="1465" t="s">
        <v>349</v>
      </c>
      <c r="B215" s="1465"/>
      <c r="C215" s="1465"/>
      <c r="D215" s="1465"/>
      <c r="E215" s="1465"/>
      <c r="F215" s="1465"/>
      <c r="G215" s="1465"/>
      <c r="H215" s="1465"/>
      <c r="I215" s="1465"/>
      <c r="J215" s="1465"/>
    </row>
    <row r="216" spans="1:10" ht="15">
      <c r="A216" s="1465" t="s">
        <v>350</v>
      </c>
      <c r="B216" s="1465"/>
      <c r="C216" s="1465"/>
      <c r="D216" s="1465"/>
      <c r="E216" s="1465"/>
      <c r="F216" s="1465"/>
      <c r="G216" s="1465"/>
      <c r="H216" s="1465"/>
      <c r="I216" s="1465"/>
      <c r="J216" s="1465"/>
    </row>
    <row r="224" ht="18">
      <c r="C224" s="1582" t="s">
        <v>351</v>
      </c>
    </row>
    <row r="225" spans="3:4" ht="15.75">
      <c r="C225" s="116"/>
      <c r="D225" t="s">
        <v>352</v>
      </c>
    </row>
    <row r="227" spans="1:10" ht="15.75">
      <c r="A227" s="1817" t="s">
        <v>353</v>
      </c>
      <c r="B227" s="1817"/>
      <c r="C227" s="1817"/>
      <c r="D227" s="178"/>
      <c r="E227" s="311" t="s">
        <v>4</v>
      </c>
      <c r="F227" s="311" t="s">
        <v>5</v>
      </c>
      <c r="G227" s="1467" t="s">
        <v>268</v>
      </c>
      <c r="H227" s="1467" t="s">
        <v>269</v>
      </c>
      <c r="I227" s="1467" t="s">
        <v>270</v>
      </c>
      <c r="J227" s="1467" t="s">
        <v>271</v>
      </c>
    </row>
    <row r="228" spans="1:10" ht="12.75">
      <c r="A228" s="350" t="s">
        <v>37</v>
      </c>
      <c r="B228" s="451"/>
      <c r="C228" s="451"/>
      <c r="D228" s="73"/>
      <c r="E228" s="936">
        <v>0.004</v>
      </c>
      <c r="F228" s="937">
        <v>4</v>
      </c>
      <c r="G228" s="73"/>
      <c r="H228" s="73"/>
      <c r="I228" s="73"/>
      <c r="J228" s="353"/>
    </row>
    <row r="229" spans="1:10" ht="12.75">
      <c r="A229" s="68" t="s">
        <v>76</v>
      </c>
      <c r="B229" s="69"/>
      <c r="C229" s="69"/>
      <c r="D229" s="78"/>
      <c r="E229" s="448">
        <v>0.003</v>
      </c>
      <c r="F229" s="449">
        <v>3</v>
      </c>
      <c r="G229" s="78"/>
      <c r="H229" s="78"/>
      <c r="I229" s="78"/>
      <c r="J229" s="762"/>
    </row>
    <row r="230" spans="1:10" ht="12.75">
      <c r="A230" s="68" t="s">
        <v>33</v>
      </c>
      <c r="B230" s="69"/>
      <c r="C230" s="69"/>
      <c r="D230" s="78"/>
      <c r="E230" s="448">
        <v>0.017</v>
      </c>
      <c r="F230" s="449">
        <v>13</v>
      </c>
      <c r="G230" s="78"/>
      <c r="H230" s="78"/>
      <c r="I230" s="78"/>
      <c r="J230" s="762"/>
    </row>
    <row r="231" spans="1:10" ht="12.75">
      <c r="A231" s="68" t="s">
        <v>36</v>
      </c>
      <c r="B231" s="69"/>
      <c r="C231" s="69"/>
      <c r="D231" s="78"/>
      <c r="E231" s="851">
        <v>0.07</v>
      </c>
      <c r="F231" s="852">
        <v>60</v>
      </c>
      <c r="G231" s="78"/>
      <c r="H231" s="78"/>
      <c r="I231" s="78"/>
      <c r="J231" s="762"/>
    </row>
    <row r="232" spans="1:10" ht="12.75">
      <c r="A232" s="68" t="s">
        <v>92</v>
      </c>
      <c r="B232" s="69"/>
      <c r="C232" s="69"/>
      <c r="D232" s="78"/>
      <c r="E232" s="448">
        <v>0.035</v>
      </c>
      <c r="F232" s="449">
        <v>35</v>
      </c>
      <c r="G232" s="78"/>
      <c r="H232" s="78"/>
      <c r="I232" s="78"/>
      <c r="J232" s="762"/>
    </row>
    <row r="233" spans="1:10" ht="12.75">
      <c r="A233" s="1070" t="s">
        <v>46</v>
      </c>
      <c r="B233" s="1072"/>
      <c r="C233" s="1072"/>
      <c r="D233" s="78"/>
      <c r="E233" s="562">
        <v>0.007</v>
      </c>
      <c r="F233" s="564">
        <v>6</v>
      </c>
      <c r="G233" s="78"/>
      <c r="H233" s="78"/>
      <c r="I233" s="78"/>
      <c r="J233" s="762"/>
    </row>
    <row r="234" spans="1:10" ht="12.75">
      <c r="A234" s="217" t="s">
        <v>354</v>
      </c>
      <c r="B234" s="218"/>
      <c r="C234" s="218"/>
      <c r="D234" s="78"/>
      <c r="E234" s="448">
        <v>0.003</v>
      </c>
      <c r="F234" s="449">
        <v>3</v>
      </c>
      <c r="G234" s="78"/>
      <c r="H234" s="78"/>
      <c r="I234" s="78"/>
      <c r="J234" s="762"/>
    </row>
    <row r="235" spans="1:10" ht="12.75">
      <c r="A235" s="217" t="s">
        <v>78</v>
      </c>
      <c r="B235" s="218"/>
      <c r="C235" s="218"/>
      <c r="D235" s="78"/>
      <c r="E235" s="448">
        <v>0.002</v>
      </c>
      <c r="F235" s="449">
        <v>2</v>
      </c>
      <c r="G235" s="78"/>
      <c r="H235" s="78"/>
      <c r="I235" s="78"/>
      <c r="J235" s="762"/>
    </row>
    <row r="236" spans="1:10" ht="12.75">
      <c r="A236" s="508" t="s">
        <v>72</v>
      </c>
      <c r="B236" s="509"/>
      <c r="C236" s="509"/>
      <c r="D236" s="78"/>
      <c r="E236" s="510">
        <v>0.005</v>
      </c>
      <c r="F236" s="511">
        <v>5</v>
      </c>
      <c r="G236" s="78"/>
      <c r="H236" s="78"/>
      <c r="I236" s="78"/>
      <c r="J236" s="762"/>
    </row>
    <row r="237" spans="1:10" ht="12.75">
      <c r="A237" s="217" t="s">
        <v>76</v>
      </c>
      <c r="B237" s="218"/>
      <c r="C237" s="218"/>
      <c r="D237" s="78"/>
      <c r="E237" s="448">
        <v>0.005</v>
      </c>
      <c r="F237" s="449">
        <v>5</v>
      </c>
      <c r="G237" s="78"/>
      <c r="H237" s="78"/>
      <c r="I237" s="78"/>
      <c r="J237" s="762"/>
    </row>
    <row r="238" spans="1:10" ht="12.75">
      <c r="A238" s="1883" t="s">
        <v>344</v>
      </c>
      <c r="B238" s="1883"/>
      <c r="C238" s="1883"/>
      <c r="D238" s="1396"/>
      <c r="E238" s="1583"/>
      <c r="F238" s="1396"/>
      <c r="G238" s="1584">
        <v>15.67</v>
      </c>
      <c r="H238" s="1584">
        <v>17.9</v>
      </c>
      <c r="I238" s="1584">
        <v>33.19</v>
      </c>
      <c r="J238" s="1584">
        <v>357</v>
      </c>
    </row>
    <row r="240" spans="1:10" ht="18">
      <c r="A240" s="1585" t="s">
        <v>305</v>
      </c>
      <c r="B240" s="1586"/>
      <c r="C240" s="1587" t="s">
        <v>355</v>
      </c>
      <c r="D240" s="1587"/>
      <c r="E240" s="1587"/>
      <c r="F240" s="1587"/>
      <c r="G240" s="1587"/>
      <c r="H240" s="1587"/>
      <c r="I240" s="1587"/>
      <c r="J240" s="1587"/>
    </row>
    <row r="241" spans="1:10" ht="16.5">
      <c r="A241" s="1587" t="s">
        <v>356</v>
      </c>
      <c r="B241" s="1587"/>
      <c r="C241" s="1587"/>
      <c r="D241" s="1587"/>
      <c r="E241" s="1587"/>
      <c r="F241" s="1587"/>
      <c r="G241" s="1587"/>
      <c r="H241" s="1587"/>
      <c r="I241" s="1587"/>
      <c r="J241" s="1587"/>
    </row>
    <row r="242" spans="1:10" ht="16.5">
      <c r="A242" s="1587" t="s">
        <v>357</v>
      </c>
      <c r="B242" s="1587"/>
      <c r="C242" s="1587"/>
      <c r="D242" s="1587"/>
      <c r="E242" s="1587"/>
      <c r="F242" s="1587"/>
      <c r="G242" s="1588"/>
      <c r="H242" s="1587"/>
      <c r="I242" s="1587"/>
      <c r="J242" s="1587"/>
    </row>
    <row r="243" spans="1:10" ht="16.5">
      <c r="A243" s="1587" t="s">
        <v>358</v>
      </c>
      <c r="B243" s="1587"/>
      <c r="C243" s="1587"/>
      <c r="D243" s="1587"/>
      <c r="E243" s="1587"/>
      <c r="F243" s="1587"/>
      <c r="G243" s="1587"/>
      <c r="H243" s="1587"/>
      <c r="I243" s="1587"/>
      <c r="J243" s="1587"/>
    </row>
    <row r="244" spans="1:10" ht="18.75">
      <c r="A244" s="1589" t="s">
        <v>359</v>
      </c>
      <c r="B244" s="1590" t="s">
        <v>360</v>
      </c>
      <c r="C244" s="1588"/>
      <c r="D244" s="1591"/>
      <c r="E244" s="1591"/>
      <c r="F244" s="1591"/>
      <c r="G244" s="1592"/>
      <c r="H244" s="1592"/>
      <c r="I244" s="1587"/>
      <c r="J244" s="1587"/>
    </row>
    <row r="245" spans="1:10" ht="16.5">
      <c r="A245" s="1593" t="s">
        <v>361</v>
      </c>
      <c r="B245" s="1593"/>
      <c r="C245" s="1593"/>
      <c r="D245" s="1593"/>
      <c r="E245" s="1593"/>
      <c r="F245" s="1593"/>
      <c r="G245" s="1593"/>
      <c r="H245" s="1593"/>
      <c r="I245" s="1587"/>
      <c r="J245" s="1587"/>
    </row>
    <row r="246" spans="1:10" ht="16.5">
      <c r="A246" s="1593"/>
      <c r="B246" s="1593"/>
      <c r="C246" s="1593"/>
      <c r="D246" s="1593"/>
      <c r="E246" s="1593"/>
      <c r="F246" s="1593"/>
      <c r="G246" s="1593"/>
      <c r="H246" s="1593"/>
      <c r="I246" s="1587"/>
      <c r="J246" s="1587"/>
    </row>
    <row r="247" spans="1:10" ht="16.5">
      <c r="A247" s="1593"/>
      <c r="B247" s="1593"/>
      <c r="C247" s="1593"/>
      <c r="D247" s="1593"/>
      <c r="E247" s="1593"/>
      <c r="F247" s="1593"/>
      <c r="G247" s="1593"/>
      <c r="H247" s="1593"/>
      <c r="I247" s="1587"/>
      <c r="J247" s="1587"/>
    </row>
    <row r="248" spans="1:10" ht="16.5">
      <c r="A248" s="1593"/>
      <c r="B248" s="1593"/>
      <c r="C248" s="1594" t="s">
        <v>362</v>
      </c>
      <c r="D248" s="1593"/>
      <c r="E248" s="1593"/>
      <c r="F248" s="1593"/>
      <c r="G248" s="1593"/>
      <c r="H248" s="1593"/>
      <c r="I248" s="1587"/>
      <c r="J248" s="1587"/>
    </row>
    <row r="249" spans="1:10" ht="16.5">
      <c r="A249" s="1593"/>
      <c r="B249" s="1593"/>
      <c r="C249" s="1593"/>
      <c r="D249" s="1593"/>
      <c r="E249" s="1593" t="s">
        <v>363</v>
      </c>
      <c r="F249" s="1593"/>
      <c r="G249" s="1593"/>
      <c r="H249" s="1593"/>
      <c r="I249" s="1587"/>
      <c r="J249" s="1587"/>
    </row>
    <row r="250" spans="1:10" ht="12.75" customHeight="1">
      <c r="A250" s="1884" t="s">
        <v>364</v>
      </c>
      <c r="B250" s="1884"/>
      <c r="C250" s="1884"/>
      <c r="D250" s="1595"/>
      <c r="E250" s="1596" t="s">
        <v>4</v>
      </c>
      <c r="F250" s="1596" t="s">
        <v>5</v>
      </c>
      <c r="G250" s="1597" t="s">
        <v>268</v>
      </c>
      <c r="H250" s="1597" t="s">
        <v>269</v>
      </c>
      <c r="I250" s="1597" t="s">
        <v>270</v>
      </c>
      <c r="J250" s="1597" t="s">
        <v>271</v>
      </c>
    </row>
    <row r="251" spans="1:10" ht="16.5">
      <c r="A251" s="1598" t="s">
        <v>107</v>
      </c>
      <c r="B251" s="1599"/>
      <c r="C251" s="1599"/>
      <c r="D251" s="1600"/>
      <c r="E251" s="1601">
        <v>0.1</v>
      </c>
      <c r="F251" s="1602">
        <v>70</v>
      </c>
      <c r="G251" s="1603"/>
      <c r="H251" s="1603"/>
      <c r="I251" s="1603"/>
      <c r="J251" s="1604"/>
    </row>
    <row r="252" spans="1:10" ht="16.5">
      <c r="A252" s="1605" t="s">
        <v>16</v>
      </c>
      <c r="B252" s="1599"/>
      <c r="C252" s="1599"/>
      <c r="D252" s="1606"/>
      <c r="E252" s="1607">
        <v>0.005</v>
      </c>
      <c r="F252" s="1608">
        <v>5</v>
      </c>
      <c r="G252" s="1603"/>
      <c r="H252" s="1603"/>
      <c r="I252" s="1603"/>
      <c r="J252" s="1604"/>
    </row>
    <row r="253" spans="1:10" ht="16.5">
      <c r="A253" s="1598" t="s">
        <v>37</v>
      </c>
      <c r="B253" s="1599"/>
      <c r="C253" s="1599"/>
      <c r="D253" s="1609"/>
      <c r="E253" s="1609">
        <v>0.004</v>
      </c>
      <c r="F253" s="1610">
        <v>4</v>
      </c>
      <c r="G253" s="1603"/>
      <c r="H253" s="1603"/>
      <c r="I253" s="1603"/>
      <c r="J253" s="1604"/>
    </row>
    <row r="254" spans="1:10" ht="16.5">
      <c r="A254" s="1598" t="s">
        <v>46</v>
      </c>
      <c r="B254" s="1599"/>
      <c r="C254" s="1599"/>
      <c r="D254" s="1609"/>
      <c r="E254" s="1609">
        <v>0.012</v>
      </c>
      <c r="F254" s="1610">
        <v>10</v>
      </c>
      <c r="G254" s="1603"/>
      <c r="H254" s="1603"/>
      <c r="I254" s="1603"/>
      <c r="J254" s="1604"/>
    </row>
    <row r="255" spans="1:10" ht="16.5">
      <c r="A255" s="1598" t="s">
        <v>76</v>
      </c>
      <c r="B255" s="1599"/>
      <c r="C255" s="1599"/>
      <c r="D255" s="1609"/>
      <c r="E255" s="1609">
        <v>0.005</v>
      </c>
      <c r="F255" s="1610">
        <v>5</v>
      </c>
      <c r="G255" s="1603"/>
      <c r="H255" s="1603"/>
      <c r="I255" s="1603"/>
      <c r="J255" s="1604"/>
    </row>
    <row r="256" spans="1:10" ht="16.5">
      <c r="A256" s="1611" t="s">
        <v>18</v>
      </c>
      <c r="B256" s="1612"/>
      <c r="C256" s="1613"/>
      <c r="D256" s="1614"/>
      <c r="E256" s="1614">
        <v>0.03</v>
      </c>
      <c r="F256" s="1615">
        <v>30</v>
      </c>
      <c r="G256" s="1603"/>
      <c r="H256" s="1603"/>
      <c r="I256" s="1603"/>
      <c r="J256" s="1604"/>
    </row>
    <row r="257" spans="1:10" ht="12.75">
      <c r="A257" s="1885" t="s">
        <v>344</v>
      </c>
      <c r="B257" s="1885"/>
      <c r="C257" s="1885"/>
      <c r="D257" s="1616"/>
      <c r="E257" s="1617"/>
      <c r="F257" s="1616"/>
      <c r="G257" s="1618">
        <v>14.77</v>
      </c>
      <c r="H257" s="1618">
        <v>9.9</v>
      </c>
      <c r="I257" s="1618">
        <v>5.08</v>
      </c>
      <c r="J257" s="1618">
        <v>170.56</v>
      </c>
    </row>
    <row r="258" spans="1:10" ht="16.5">
      <c r="A258" s="1593"/>
      <c r="B258" s="1593"/>
      <c r="C258" s="1593"/>
      <c r="D258" s="1593"/>
      <c r="E258" s="1593"/>
      <c r="F258" s="1593"/>
      <c r="G258" s="1593"/>
      <c r="H258" s="1593"/>
      <c r="I258" s="1587"/>
      <c r="J258" s="1587"/>
    </row>
    <row r="259" spans="1:10" ht="16.5">
      <c r="A259" s="1619" t="s">
        <v>305</v>
      </c>
      <c r="B259" s="1593"/>
      <c r="C259" s="1593" t="s">
        <v>365</v>
      </c>
      <c r="D259" s="1593"/>
      <c r="E259" s="1593"/>
      <c r="F259" s="1593"/>
      <c r="G259" s="1593"/>
      <c r="H259" s="1593"/>
      <c r="I259" s="1587"/>
      <c r="J259" s="1587"/>
    </row>
    <row r="260" spans="1:10" ht="16.5">
      <c r="A260" s="1620" t="s">
        <v>366</v>
      </c>
      <c r="B260" s="1593"/>
      <c r="C260" s="1593"/>
      <c r="D260" s="1593"/>
      <c r="E260" s="1593"/>
      <c r="F260" s="1593"/>
      <c r="G260" s="1593"/>
      <c r="H260" s="1593"/>
      <c r="I260" s="1587"/>
      <c r="J260" s="1587"/>
    </row>
    <row r="261" spans="1:10" ht="16.5">
      <c r="A261" s="1587" t="s">
        <v>367</v>
      </c>
      <c r="B261" s="1587"/>
      <c r="C261" s="1587"/>
      <c r="D261" s="1587"/>
      <c r="E261" s="1587"/>
      <c r="F261" s="1587"/>
      <c r="G261" s="1587"/>
      <c r="H261" s="1587"/>
      <c r="I261" s="1587"/>
      <c r="J261" s="1621"/>
    </row>
    <row r="262" spans="1:10" ht="16.5">
      <c r="A262" s="1587" t="s">
        <v>368</v>
      </c>
      <c r="B262" s="1621"/>
      <c r="C262" s="1621"/>
      <c r="D262" s="1621"/>
      <c r="E262" s="1621"/>
      <c r="F262" s="1621"/>
      <c r="G262" s="1621"/>
      <c r="H262" s="1621"/>
      <c r="I262" s="1621"/>
      <c r="J262" s="1621"/>
    </row>
    <row r="263" spans="1:10" ht="15">
      <c r="A263" s="1622" t="s">
        <v>369</v>
      </c>
      <c r="B263" s="1621"/>
      <c r="C263" s="1621"/>
      <c r="D263" s="1621"/>
      <c r="E263" s="1621"/>
      <c r="F263" s="1621"/>
      <c r="G263" s="1621"/>
      <c r="H263" s="1621"/>
      <c r="I263" s="1621"/>
      <c r="J263" s="1621"/>
    </row>
    <row r="264" spans="1:10" ht="15.75">
      <c r="A264" s="1619" t="s">
        <v>319</v>
      </c>
      <c r="B264" s="1622"/>
      <c r="C264" s="1622"/>
      <c r="D264" s="1622"/>
      <c r="E264" s="1622"/>
      <c r="F264" s="1622"/>
      <c r="G264" s="1622"/>
      <c r="H264" s="1622"/>
      <c r="I264" s="1622"/>
      <c r="J264" s="1622"/>
    </row>
    <row r="265" spans="1:10" ht="15">
      <c r="A265" s="1622" t="s">
        <v>370</v>
      </c>
      <c r="B265" s="1622"/>
      <c r="C265" s="1622"/>
      <c r="D265" s="1622"/>
      <c r="E265" s="1622"/>
      <c r="F265" s="1622"/>
      <c r="G265" s="1622"/>
      <c r="H265" s="1622"/>
      <c r="I265" s="1622"/>
      <c r="J265" s="1622"/>
    </row>
    <row r="266" spans="1:10" ht="15">
      <c r="A266" s="1622"/>
      <c r="B266" s="1622"/>
      <c r="C266" s="1622"/>
      <c r="D266" s="1622"/>
      <c r="E266" s="1622"/>
      <c r="F266" s="1622"/>
      <c r="G266" s="1622"/>
      <c r="H266" s="1622"/>
      <c r="I266" s="1622"/>
      <c r="J266" s="1622"/>
    </row>
    <row r="267" spans="1:10" ht="15">
      <c r="A267" s="1622"/>
      <c r="B267" s="1622"/>
      <c r="C267" s="1622"/>
      <c r="D267" s="1622"/>
      <c r="E267" s="1622"/>
      <c r="F267" s="1622"/>
      <c r="G267" s="1622"/>
      <c r="H267" s="1622"/>
      <c r="I267" s="1622"/>
      <c r="J267" s="1622"/>
    </row>
    <row r="268" spans="1:10" ht="15.75">
      <c r="A268" s="1622"/>
      <c r="B268" s="1623" t="s">
        <v>371</v>
      </c>
      <c r="C268" s="1623"/>
      <c r="D268" s="1623"/>
      <c r="E268" s="1623"/>
      <c r="F268" s="1623"/>
      <c r="G268" s="1623"/>
      <c r="H268" s="1623"/>
      <c r="I268" s="1622"/>
      <c r="J268" s="1622"/>
    </row>
    <row r="269" spans="1:10" ht="15.75">
      <c r="A269" s="1622"/>
      <c r="B269" s="1619"/>
      <c r="C269" s="1886" t="s">
        <v>372</v>
      </c>
      <c r="D269" s="1886"/>
      <c r="E269" s="1886"/>
      <c r="F269" s="1622"/>
      <c r="G269" s="1622"/>
      <c r="H269" s="1622"/>
      <c r="I269" s="1622"/>
      <c r="J269" s="1622"/>
    </row>
    <row r="270" spans="1:10" ht="15">
      <c r="A270" s="1622"/>
      <c r="B270" s="1622"/>
      <c r="C270" s="1622"/>
      <c r="D270" s="1622"/>
      <c r="E270" s="1622"/>
      <c r="F270" s="1622"/>
      <c r="G270" s="1622"/>
      <c r="H270" s="1622"/>
      <c r="I270" s="1622"/>
      <c r="J270" s="1622"/>
    </row>
    <row r="271" spans="1:10" ht="31.5" customHeight="1">
      <c r="A271" s="1887" t="s">
        <v>371</v>
      </c>
      <c r="B271" s="1887"/>
      <c r="C271" s="1887"/>
      <c r="D271" s="574">
        <v>150</v>
      </c>
      <c r="E271" s="1596" t="s">
        <v>4</v>
      </c>
      <c r="F271" s="1596" t="s">
        <v>5</v>
      </c>
      <c r="G271" s="1597" t="s">
        <v>268</v>
      </c>
      <c r="H271" s="1597" t="s">
        <v>269</v>
      </c>
      <c r="I271" s="1597" t="s">
        <v>270</v>
      </c>
      <c r="J271" s="1597" t="s">
        <v>271</v>
      </c>
    </row>
    <row r="272" spans="1:10" ht="12.75">
      <c r="A272" s="318" t="s">
        <v>65</v>
      </c>
      <c r="B272" s="319"/>
      <c r="C272" s="319"/>
      <c r="D272" s="320"/>
      <c r="E272" s="717">
        <v>0.011</v>
      </c>
      <c r="F272" s="342">
        <v>10</v>
      </c>
      <c r="G272" s="337"/>
      <c r="H272" s="337"/>
      <c r="I272" s="337"/>
      <c r="J272" s="1624"/>
    </row>
    <row r="273" spans="1:10" ht="12.75">
      <c r="A273" s="318" t="s">
        <v>32</v>
      </c>
      <c r="B273" s="319"/>
      <c r="C273" s="319"/>
      <c r="D273" s="320"/>
      <c r="E273" s="717">
        <v>0.25</v>
      </c>
      <c r="F273" s="342">
        <v>150</v>
      </c>
      <c r="G273" s="111"/>
      <c r="H273" s="111"/>
      <c r="I273" s="111"/>
      <c r="J273" s="263"/>
    </row>
    <row r="274" spans="1:10" ht="12.75">
      <c r="A274" s="318" t="s">
        <v>18</v>
      </c>
      <c r="B274" s="319"/>
      <c r="C274" s="319"/>
      <c r="D274" s="320"/>
      <c r="E274" s="706">
        <v>0.05</v>
      </c>
      <c r="F274" s="707">
        <v>50</v>
      </c>
      <c r="G274" s="54"/>
      <c r="H274" s="54"/>
      <c r="I274" s="54"/>
      <c r="J274" s="55"/>
    </row>
    <row r="275" spans="1:10" ht="12.75">
      <c r="A275" s="47" t="s">
        <v>76</v>
      </c>
      <c r="B275" s="48"/>
      <c r="C275" s="48"/>
      <c r="D275" s="1048"/>
      <c r="E275" s="51">
        <v>0.005</v>
      </c>
      <c r="F275" s="52">
        <v>5</v>
      </c>
      <c r="G275" s="204"/>
      <c r="H275" s="905"/>
      <c r="I275" s="905"/>
      <c r="J275" s="1625"/>
    </row>
    <row r="276" spans="1:10" ht="12.75">
      <c r="A276" s="318" t="s">
        <v>16</v>
      </c>
      <c r="B276" s="319"/>
      <c r="C276" s="319"/>
      <c r="D276" s="320"/>
      <c r="E276" s="252">
        <v>0.005</v>
      </c>
      <c r="F276" s="253">
        <v>5</v>
      </c>
      <c r="G276" s="45"/>
      <c r="H276" s="45"/>
      <c r="I276" s="45"/>
      <c r="J276" s="46"/>
    </row>
    <row r="277" spans="1:10" ht="12.75">
      <c r="A277" s="1885" t="s">
        <v>344</v>
      </c>
      <c r="B277" s="1885"/>
      <c r="C277" s="1885"/>
      <c r="D277" s="1616"/>
      <c r="E277" s="1617"/>
      <c r="F277" s="1616"/>
      <c r="G277" s="108">
        <v>7.3</v>
      </c>
      <c r="H277" s="108">
        <v>7.7</v>
      </c>
      <c r="I277" s="108">
        <v>13.015</v>
      </c>
      <c r="J277" s="108">
        <v>156.1</v>
      </c>
    </row>
    <row r="278" spans="1:10" ht="15">
      <c r="A278" s="1622"/>
      <c r="B278" s="1622"/>
      <c r="C278" s="1622"/>
      <c r="D278" s="1622"/>
      <c r="E278" s="1622"/>
      <c r="F278" s="1622"/>
      <c r="G278" s="1622"/>
      <c r="H278" s="1622"/>
      <c r="I278" s="1622"/>
      <c r="J278" s="1622"/>
    </row>
    <row r="279" spans="1:4" ht="15.75">
      <c r="A279" s="1619" t="s">
        <v>305</v>
      </c>
      <c r="B279" s="1622"/>
      <c r="C279" s="1622"/>
      <c r="D279" s="1465" t="s">
        <v>373</v>
      </c>
    </row>
    <row r="280" spans="1:12" ht="15">
      <c r="A280" s="1886" t="s">
        <v>374</v>
      </c>
      <c r="B280" s="1886"/>
      <c r="C280" s="1886"/>
      <c r="D280" s="1886"/>
      <c r="E280" s="1886"/>
      <c r="F280" s="1886"/>
      <c r="G280" s="1886"/>
      <c r="H280" s="1886"/>
      <c r="I280" s="1886"/>
      <c r="J280" s="1886"/>
      <c r="K280" s="1886"/>
      <c r="L280" s="1886"/>
    </row>
    <row r="281" spans="1:3" ht="15">
      <c r="A281" s="1622" t="s">
        <v>375</v>
      </c>
      <c r="B281" s="1622"/>
      <c r="C281" s="1622"/>
    </row>
    <row r="282" spans="1:10" ht="15">
      <c r="A282" s="1622" t="s">
        <v>376</v>
      </c>
      <c r="B282" s="1622"/>
      <c r="C282" s="1622"/>
      <c r="D282" s="1622"/>
      <c r="E282" s="1622"/>
      <c r="F282" s="1622"/>
      <c r="G282" s="1622"/>
      <c r="H282" s="1622"/>
      <c r="I282" s="1622"/>
      <c r="J282" s="1622"/>
    </row>
    <row r="283" spans="1:10" ht="15">
      <c r="A283" s="1622"/>
      <c r="B283" s="1622"/>
      <c r="C283" s="1622"/>
      <c r="D283" s="1622"/>
      <c r="E283" s="1622"/>
      <c r="F283" s="1622"/>
      <c r="G283" s="1622"/>
      <c r="H283" s="1622"/>
      <c r="I283" s="1622"/>
      <c r="J283" s="1622"/>
    </row>
    <row r="284" spans="1:10" ht="15">
      <c r="A284" s="1622"/>
      <c r="B284" s="1622"/>
      <c r="C284" s="1622"/>
      <c r="D284" s="1622"/>
      <c r="E284" s="1622"/>
      <c r="F284" s="1622"/>
      <c r="G284" s="1622"/>
      <c r="H284" s="1622"/>
      <c r="I284" s="1622"/>
      <c r="J284" s="1622"/>
    </row>
    <row r="285" spans="1:10" ht="15.75">
      <c r="A285" s="1622"/>
      <c r="B285" s="1622"/>
      <c r="C285" s="1622"/>
      <c r="D285" s="657" t="s">
        <v>377</v>
      </c>
      <c r="E285" s="657"/>
      <c r="F285" s="657"/>
      <c r="G285" s="1622"/>
      <c r="H285" s="1622"/>
      <c r="I285" s="1622"/>
      <c r="J285" s="1622"/>
    </row>
    <row r="286" spans="1:10" ht="15">
      <c r="A286" s="1622"/>
      <c r="B286" s="1622"/>
      <c r="C286" s="1622"/>
      <c r="D286" s="1622" t="s">
        <v>378</v>
      </c>
      <c r="E286" s="1622"/>
      <c r="F286" s="1622"/>
      <c r="G286" s="1622"/>
      <c r="H286" s="1622"/>
      <c r="I286" s="1622"/>
      <c r="J286" s="1622"/>
    </row>
    <row r="287" spans="1:10" ht="15">
      <c r="A287" s="1622"/>
      <c r="B287" s="1622"/>
      <c r="C287" s="1622"/>
      <c r="D287" s="1622"/>
      <c r="E287" s="1622"/>
      <c r="F287" s="1622"/>
      <c r="G287" s="1622"/>
      <c r="H287" s="1622"/>
      <c r="I287" s="1622"/>
      <c r="J287" s="1622"/>
    </row>
    <row r="288" spans="1:10" ht="15.75">
      <c r="A288" s="1780" t="s">
        <v>377</v>
      </c>
      <c r="B288" s="1780"/>
      <c r="C288" s="1780"/>
      <c r="D288" s="556">
        <v>120</v>
      </c>
      <c r="E288" s="1596" t="s">
        <v>4</v>
      </c>
      <c r="F288" s="1596" t="s">
        <v>5</v>
      </c>
      <c r="G288" s="1597" t="s">
        <v>268</v>
      </c>
      <c r="H288" s="1597" t="s">
        <v>269</v>
      </c>
      <c r="I288" s="1597" t="s">
        <v>270</v>
      </c>
      <c r="J288" s="1597" t="s">
        <v>271</v>
      </c>
    </row>
    <row r="289" spans="1:10" ht="12.75">
      <c r="A289" s="340" t="s">
        <v>16</v>
      </c>
      <c r="B289" s="341"/>
      <c r="C289" s="341"/>
      <c r="D289" s="517"/>
      <c r="E289" s="562">
        <v>0.003</v>
      </c>
      <c r="F289" s="505">
        <v>3</v>
      </c>
      <c r="G289" s="916"/>
      <c r="H289" s="916"/>
      <c r="I289" s="916"/>
      <c r="J289" s="917"/>
    </row>
    <row r="290" spans="1:10" ht="12.75">
      <c r="A290" s="340" t="s">
        <v>46</v>
      </c>
      <c r="B290" s="341"/>
      <c r="C290" s="341"/>
      <c r="D290" s="517"/>
      <c r="E290" s="562">
        <v>0.007</v>
      </c>
      <c r="F290" s="564">
        <v>6</v>
      </c>
      <c r="G290" s="455"/>
      <c r="H290" s="455"/>
      <c r="I290" s="455"/>
      <c r="J290" s="910"/>
    </row>
    <row r="291" spans="1:10" ht="12.75">
      <c r="A291" s="340" t="s">
        <v>84</v>
      </c>
      <c r="B291" s="341"/>
      <c r="C291" s="341"/>
      <c r="D291" s="517"/>
      <c r="E291" s="433">
        <v>0.1</v>
      </c>
      <c r="F291" s="434">
        <v>98</v>
      </c>
      <c r="G291" s="54"/>
      <c r="H291" s="256"/>
      <c r="I291" s="256"/>
      <c r="J291" s="532"/>
    </row>
    <row r="292" spans="1:11" ht="12.75">
      <c r="A292" s="27" t="s">
        <v>85</v>
      </c>
      <c r="B292" s="28"/>
      <c r="C292" s="28"/>
      <c r="D292" s="29"/>
      <c r="E292" s="30">
        <v>0.003</v>
      </c>
      <c r="F292" s="31">
        <v>3</v>
      </c>
      <c r="G292" s="32"/>
      <c r="H292" s="33"/>
      <c r="I292" s="34"/>
      <c r="J292" s="36"/>
      <c r="K292" s="233"/>
    </row>
    <row r="293" spans="1:10" ht="12.75">
      <c r="A293" s="340" t="s">
        <v>17</v>
      </c>
      <c r="B293" s="341"/>
      <c r="C293" s="341"/>
      <c r="D293" s="517"/>
      <c r="E293" s="562">
        <v>0.009000000000000001</v>
      </c>
      <c r="F293" s="505">
        <v>9</v>
      </c>
      <c r="G293" s="455"/>
      <c r="H293" s="455"/>
      <c r="I293" s="455"/>
      <c r="J293" s="456"/>
    </row>
    <row r="294" spans="1:10" ht="12.75">
      <c r="A294" s="340" t="s">
        <v>76</v>
      </c>
      <c r="B294" s="341"/>
      <c r="C294" s="341"/>
      <c r="D294" s="517"/>
      <c r="E294" s="77">
        <v>0.02</v>
      </c>
      <c r="F294" s="78">
        <v>20</v>
      </c>
      <c r="G294" s="54"/>
      <c r="H294" s="256"/>
      <c r="I294" s="256"/>
      <c r="J294" s="532"/>
    </row>
    <row r="295" spans="1:10" ht="15">
      <c r="A295" s="1888" t="s">
        <v>344</v>
      </c>
      <c r="B295" s="1888"/>
      <c r="C295" s="1888"/>
      <c r="D295" s="1616"/>
      <c r="E295" s="1617"/>
      <c r="F295" s="1616"/>
      <c r="G295" s="1626">
        <v>20.11</v>
      </c>
      <c r="H295" s="1626">
        <v>17.7</v>
      </c>
      <c r="I295" s="1626">
        <v>5.8</v>
      </c>
      <c r="J295" s="1627">
        <v>265</v>
      </c>
    </row>
    <row r="296" spans="1:10" ht="15">
      <c r="A296" s="1622"/>
      <c r="B296" s="1622"/>
      <c r="C296" s="1622"/>
      <c r="D296" s="1622"/>
      <c r="E296" s="1622"/>
      <c r="F296" s="1622"/>
      <c r="G296" s="1622"/>
      <c r="H296" s="1622"/>
      <c r="I296" s="1622"/>
      <c r="J296" s="1622"/>
    </row>
    <row r="297" spans="1:10" ht="15">
      <c r="A297" s="1621" t="s">
        <v>305</v>
      </c>
      <c r="B297" s="1622"/>
      <c r="C297" s="1622" t="s">
        <v>379</v>
      </c>
      <c r="D297" s="1622"/>
      <c r="E297" s="1622"/>
      <c r="F297" s="1622"/>
      <c r="G297" s="1622"/>
      <c r="H297" s="1622"/>
      <c r="I297" s="1622"/>
      <c r="J297" s="1622"/>
    </row>
    <row r="298" spans="1:10" ht="15">
      <c r="A298" s="1622" t="s">
        <v>380</v>
      </c>
      <c r="B298" s="1622"/>
      <c r="C298" s="1622"/>
      <c r="D298" s="1622"/>
      <c r="E298" s="1622"/>
      <c r="F298" s="1622"/>
      <c r="G298" s="1622"/>
      <c r="H298" s="1622"/>
      <c r="I298" s="1622"/>
      <c r="J298" s="1622"/>
    </row>
    <row r="299" spans="1:10" ht="15">
      <c r="A299" s="1622" t="s">
        <v>381</v>
      </c>
      <c r="B299" s="1622"/>
      <c r="C299" s="1622"/>
      <c r="D299" s="1622"/>
      <c r="E299" s="1622"/>
      <c r="F299" s="1622"/>
      <c r="G299" s="1622"/>
      <c r="H299" s="1622"/>
      <c r="I299" s="1622"/>
      <c r="J299" s="1622"/>
    </row>
    <row r="300" spans="1:10" ht="15">
      <c r="A300" s="1622" t="s">
        <v>382</v>
      </c>
      <c r="B300" s="1622"/>
      <c r="C300" s="1622"/>
      <c r="D300" s="1622"/>
      <c r="E300" s="1622"/>
      <c r="F300" s="1622"/>
      <c r="G300" s="1622"/>
      <c r="H300" s="1622"/>
      <c r="I300" s="1622"/>
      <c r="J300" s="1622"/>
    </row>
    <row r="301" spans="1:10" ht="15">
      <c r="A301" s="1622"/>
      <c r="B301" s="1622"/>
      <c r="C301" s="1622"/>
      <c r="D301" s="1622"/>
      <c r="E301" s="1622"/>
      <c r="F301" s="1622"/>
      <c r="G301" s="1622"/>
      <c r="H301" s="1622"/>
      <c r="I301" s="1622"/>
      <c r="J301" s="1622"/>
    </row>
    <row r="302" spans="1:10" ht="15">
      <c r="A302" s="1622"/>
      <c r="B302" s="1622"/>
      <c r="C302" s="1622"/>
      <c r="D302" s="1622"/>
      <c r="E302" s="1622"/>
      <c r="F302" s="1622"/>
      <c r="G302" s="1622"/>
      <c r="H302" s="1622"/>
      <c r="I302" s="1622"/>
      <c r="J302" s="1622"/>
    </row>
    <row r="303" spans="1:10" ht="15.75">
      <c r="A303" s="1622"/>
      <c r="B303" s="1619" t="s">
        <v>383</v>
      </c>
      <c r="C303" s="1622"/>
      <c r="D303" s="1047"/>
      <c r="E303" s="1622"/>
      <c r="F303" s="1622"/>
      <c r="G303" s="1622"/>
      <c r="H303" s="1622"/>
      <c r="I303" s="1622"/>
      <c r="J303" s="1622"/>
    </row>
    <row r="304" spans="1:10" ht="12.75" customHeight="1">
      <c r="A304" s="1622"/>
      <c r="B304" s="1619"/>
      <c r="C304" s="1622"/>
      <c r="D304" s="1889" t="s">
        <v>384</v>
      </c>
      <c r="E304" s="1889"/>
      <c r="F304" s="1622"/>
      <c r="G304" s="1622"/>
      <c r="H304" s="1622"/>
      <c r="I304" s="1622"/>
      <c r="J304" s="1622"/>
    </row>
    <row r="305" spans="1:10" ht="15">
      <c r="A305" s="1622"/>
      <c r="B305" s="1622"/>
      <c r="C305" s="1622"/>
      <c r="D305" s="1622"/>
      <c r="E305" s="1622"/>
      <c r="F305" s="1622"/>
      <c r="G305" s="1622"/>
      <c r="H305" s="1622"/>
      <c r="I305" s="1622"/>
      <c r="J305" s="1622"/>
    </row>
    <row r="306" spans="1:10" ht="32.25" customHeight="1">
      <c r="A306" s="1793" t="s">
        <v>383</v>
      </c>
      <c r="B306" s="1793"/>
      <c r="C306" s="1793"/>
      <c r="D306" s="281">
        <v>80</v>
      </c>
      <c r="E306" s="282"/>
      <c r="F306" s="282"/>
      <c r="G306" s="1597" t="s">
        <v>268</v>
      </c>
      <c r="H306" s="1597" t="s">
        <v>269</v>
      </c>
      <c r="I306" s="1597" t="s">
        <v>270</v>
      </c>
      <c r="J306" s="1597" t="s">
        <v>271</v>
      </c>
    </row>
    <row r="307" spans="1:10" ht="12.75">
      <c r="A307" s="340" t="s">
        <v>107</v>
      </c>
      <c r="B307" s="341"/>
      <c r="C307" s="341"/>
      <c r="D307" s="517"/>
      <c r="E307" s="533">
        <v>0.1</v>
      </c>
      <c r="F307" s="534">
        <v>70</v>
      </c>
      <c r="G307" s="535"/>
      <c r="H307" s="85"/>
      <c r="I307" s="85"/>
      <c r="J307" s="86"/>
    </row>
    <row r="308" spans="1:10" ht="12.75">
      <c r="A308" s="68" t="s">
        <v>16</v>
      </c>
      <c r="B308" s="341"/>
      <c r="C308" s="341"/>
      <c r="D308" s="517"/>
      <c r="E308" s="77">
        <v>0.005</v>
      </c>
      <c r="F308" s="78">
        <v>5</v>
      </c>
      <c r="G308" s="290"/>
      <c r="H308" s="45"/>
      <c r="I308" s="45"/>
      <c r="J308" s="46"/>
    </row>
    <row r="309" spans="1:10" ht="12.75">
      <c r="A309" s="340" t="s">
        <v>37</v>
      </c>
      <c r="B309" s="341"/>
      <c r="C309" s="341"/>
      <c r="D309" s="725"/>
      <c r="E309" s="562">
        <v>0.004</v>
      </c>
      <c r="F309" s="564">
        <v>4</v>
      </c>
      <c r="G309" s="214"/>
      <c r="H309" s="257"/>
      <c r="I309" s="258"/>
      <c r="J309" s="55"/>
    </row>
    <row r="310" spans="1:10" ht="12.75">
      <c r="A310" s="340" t="s">
        <v>33</v>
      </c>
      <c r="B310" s="341"/>
      <c r="C310" s="341"/>
      <c r="D310" s="725"/>
      <c r="E310" s="562">
        <v>0.02</v>
      </c>
      <c r="F310" s="564">
        <v>14</v>
      </c>
      <c r="G310" s="214"/>
      <c r="H310" s="204"/>
      <c r="I310" s="204"/>
      <c r="J310" s="205"/>
    </row>
    <row r="311" spans="1:10" ht="12.75">
      <c r="A311" s="340" t="s">
        <v>34</v>
      </c>
      <c r="B311" s="341"/>
      <c r="C311" s="341"/>
      <c r="D311" s="725"/>
      <c r="E311" s="562">
        <v>0.025</v>
      </c>
      <c r="F311" s="564">
        <v>18</v>
      </c>
      <c r="G311" s="214"/>
      <c r="H311" s="204"/>
      <c r="I311" s="204"/>
      <c r="J311" s="205"/>
    </row>
    <row r="312" spans="1:10" ht="12.75">
      <c r="A312" s="340" t="s">
        <v>65</v>
      </c>
      <c r="B312" s="341"/>
      <c r="C312" s="341"/>
      <c r="D312" s="725"/>
      <c r="E312" s="562">
        <v>0.011</v>
      </c>
      <c r="F312" s="564">
        <v>10</v>
      </c>
      <c r="G312" s="214"/>
      <c r="H312" s="337"/>
      <c r="I312" s="337"/>
      <c r="J312" s="1624"/>
    </row>
    <row r="313" spans="1:10" ht="12.75">
      <c r="A313" s="340" t="s">
        <v>385</v>
      </c>
      <c r="B313" s="341"/>
      <c r="C313" s="341"/>
      <c r="D313" s="725"/>
      <c r="E313" s="562"/>
      <c r="F313" s="564"/>
      <c r="G313" s="214"/>
      <c r="H313" s="257"/>
      <c r="I313" s="258"/>
      <c r="J313" s="55"/>
    </row>
    <row r="314" spans="1:10" ht="12.75">
      <c r="A314" s="340" t="s">
        <v>72</v>
      </c>
      <c r="B314" s="341"/>
      <c r="C314" s="341"/>
      <c r="D314" s="725"/>
      <c r="E314" s="562">
        <v>0.01</v>
      </c>
      <c r="F314" s="564">
        <v>10</v>
      </c>
      <c r="G314" s="214"/>
      <c r="H314" s="258"/>
      <c r="I314" s="258"/>
      <c r="J314" s="327"/>
    </row>
    <row r="315" spans="1:10" ht="12.75">
      <c r="A315" s="566" t="s">
        <v>76</v>
      </c>
      <c r="B315" s="567"/>
      <c r="C315" s="567"/>
      <c r="D315" s="748"/>
      <c r="E315" s="527">
        <v>0.005</v>
      </c>
      <c r="F315" s="528">
        <v>5</v>
      </c>
      <c r="G315" s="642"/>
      <c r="H315" s="749"/>
      <c r="I315" s="749"/>
      <c r="J315" s="750"/>
    </row>
    <row r="316" spans="1:10" ht="12.75" customHeight="1">
      <c r="A316" s="1888" t="s">
        <v>344</v>
      </c>
      <c r="B316" s="1888"/>
      <c r="C316" s="1888"/>
      <c r="D316" s="1616"/>
      <c r="E316" s="1617"/>
      <c r="F316" s="1616"/>
      <c r="G316" s="1626">
        <v>17</v>
      </c>
      <c r="H316" s="1626">
        <v>12</v>
      </c>
      <c r="I316" s="1626">
        <v>6</v>
      </c>
      <c r="J316" s="1627">
        <v>199</v>
      </c>
    </row>
    <row r="317" spans="1:10" ht="15">
      <c r="A317" s="1622"/>
      <c r="B317" s="1622"/>
      <c r="C317" s="1622"/>
      <c r="D317" s="1622"/>
      <c r="E317" s="1622"/>
      <c r="F317" s="1622"/>
      <c r="G317" s="1622"/>
      <c r="H317" s="1622"/>
      <c r="I317" s="1622"/>
      <c r="J317" s="1622"/>
    </row>
    <row r="318" spans="1:10" ht="15.75">
      <c r="A318" s="1619" t="s">
        <v>305</v>
      </c>
      <c r="B318" s="1622"/>
      <c r="C318" s="1622"/>
      <c r="D318" s="1622"/>
      <c r="E318" s="1622"/>
      <c r="F318" s="1622"/>
      <c r="G318" s="1622"/>
      <c r="H318" s="1622"/>
      <c r="I318" s="1622"/>
      <c r="J318" s="1622"/>
    </row>
    <row r="319" spans="1:10" ht="15">
      <c r="A319" s="1465" t="s">
        <v>386</v>
      </c>
      <c r="B319" s="1465"/>
      <c r="C319" s="1465"/>
      <c r="D319" s="1465"/>
      <c r="E319" s="1465"/>
      <c r="F319" s="1465"/>
      <c r="G319" s="1465"/>
      <c r="H319" s="1622"/>
      <c r="I319" s="1622"/>
      <c r="J319" s="1622"/>
    </row>
    <row r="320" spans="1:10" ht="15">
      <c r="A320" s="1465" t="s">
        <v>387</v>
      </c>
      <c r="B320" s="1465"/>
      <c r="C320" s="1465"/>
      <c r="D320" s="1465"/>
      <c r="E320" s="1465"/>
      <c r="F320" s="1465"/>
      <c r="G320" s="1465"/>
      <c r="H320" s="1622"/>
      <c r="I320" s="1622"/>
      <c r="J320" s="1622"/>
    </row>
    <row r="321" spans="1:10" ht="15">
      <c r="A321" s="1465" t="s">
        <v>388</v>
      </c>
      <c r="B321" s="1465"/>
      <c r="C321" s="1465"/>
      <c r="D321" s="1465"/>
      <c r="E321" s="1465"/>
      <c r="F321" s="1465"/>
      <c r="G321" s="1465"/>
      <c r="H321" s="1622"/>
      <c r="I321" s="1622"/>
      <c r="J321" s="1622"/>
    </row>
    <row r="322" spans="1:10" ht="15">
      <c r="A322" s="1622"/>
      <c r="B322" s="1622"/>
      <c r="C322" s="1622"/>
      <c r="D322" s="1622"/>
      <c r="E322" s="1622"/>
      <c r="F322" s="1622"/>
      <c r="G322" s="1622"/>
      <c r="H322" s="1622"/>
      <c r="I322" s="1622"/>
      <c r="J322" s="1622"/>
    </row>
    <row r="323" spans="1:10" ht="15">
      <c r="A323" s="1622"/>
      <c r="B323" s="1622"/>
      <c r="C323" s="1622"/>
      <c r="D323" s="1622"/>
      <c r="E323" s="1622"/>
      <c r="F323" s="1622"/>
      <c r="G323" s="1622"/>
      <c r="H323" s="1622"/>
      <c r="I323" s="1622"/>
      <c r="J323" s="1622"/>
    </row>
    <row r="324" ht="15.75">
      <c r="C324" s="369" t="s">
        <v>389</v>
      </c>
    </row>
    <row r="325" ht="12.75">
      <c r="C325" t="s">
        <v>314</v>
      </c>
    </row>
    <row r="326" spans="1:10" ht="12.75" customHeight="1">
      <c r="A326" s="1817" t="s">
        <v>389</v>
      </c>
      <c r="B326" s="1817"/>
      <c r="C326" s="1817"/>
      <c r="D326" s="927">
        <v>80</v>
      </c>
      <c r="E326" s="66"/>
      <c r="F326" s="21"/>
      <c r="G326" s="1351" t="s">
        <v>390</v>
      </c>
      <c r="H326" s="1628" t="s">
        <v>391</v>
      </c>
      <c r="I326" s="1629" t="s">
        <v>392</v>
      </c>
      <c r="J326" s="1630" t="s">
        <v>393</v>
      </c>
    </row>
    <row r="327" spans="1:10" ht="12.75">
      <c r="A327" s="589" t="s">
        <v>36</v>
      </c>
      <c r="B327" s="590"/>
      <c r="C327" s="590"/>
      <c r="D327" s="720"/>
      <c r="E327" s="721">
        <v>0.1</v>
      </c>
      <c r="F327" s="722">
        <v>85</v>
      </c>
      <c r="G327" s="449">
        <v>4</v>
      </c>
      <c r="H327" s="78"/>
      <c r="I327" s="78"/>
      <c r="J327" s="78"/>
    </row>
    <row r="328" spans="1:10" ht="12.75">
      <c r="A328" s="217" t="s">
        <v>37</v>
      </c>
      <c r="B328" s="218"/>
      <c r="C328" s="218"/>
      <c r="D328" s="1631"/>
      <c r="E328" s="448">
        <v>0.004</v>
      </c>
      <c r="F328" s="449">
        <v>4</v>
      </c>
      <c r="G328" s="449"/>
      <c r="H328" s="78"/>
      <c r="I328" s="78"/>
      <c r="J328" s="78"/>
    </row>
    <row r="329" spans="1:10" ht="12.75">
      <c r="A329" s="217" t="s">
        <v>76</v>
      </c>
      <c r="B329" s="218"/>
      <c r="C329" s="218"/>
      <c r="D329" s="1631"/>
      <c r="E329" s="448">
        <v>0.005</v>
      </c>
      <c r="F329" s="449">
        <v>5</v>
      </c>
      <c r="G329" s="449"/>
      <c r="H329" s="78"/>
      <c r="I329" s="78"/>
      <c r="J329" s="78"/>
    </row>
    <row r="330" spans="1:10" ht="12.75">
      <c r="A330" s="217" t="s">
        <v>33</v>
      </c>
      <c r="B330" s="218"/>
      <c r="C330" s="218"/>
      <c r="D330" s="1631"/>
      <c r="E330" s="448">
        <v>0.015</v>
      </c>
      <c r="F330" s="449">
        <v>13</v>
      </c>
      <c r="G330" s="449">
        <v>5</v>
      </c>
      <c r="H330" s="78"/>
      <c r="I330" s="78"/>
      <c r="J330" s="78"/>
    </row>
    <row r="331" spans="1:10" ht="12.75">
      <c r="A331" s="217" t="s">
        <v>34</v>
      </c>
      <c r="B331" s="218"/>
      <c r="C331" s="218"/>
      <c r="D331" s="1631"/>
      <c r="E331" s="448">
        <v>0.02</v>
      </c>
      <c r="F331" s="449">
        <v>17</v>
      </c>
      <c r="G331" s="449">
        <v>13</v>
      </c>
      <c r="H331" s="78"/>
      <c r="I331" s="78"/>
      <c r="J331" s="78"/>
    </row>
    <row r="332" spans="1:10" ht="12.75">
      <c r="A332" s="217" t="s">
        <v>72</v>
      </c>
      <c r="B332" s="218"/>
      <c r="C332" s="218"/>
      <c r="D332" s="1631"/>
      <c r="E332" s="448">
        <v>0.005</v>
      </c>
      <c r="F332" s="449">
        <v>5</v>
      </c>
      <c r="G332" s="449">
        <v>5</v>
      </c>
      <c r="H332" s="78"/>
      <c r="I332" s="78"/>
      <c r="J332" s="78"/>
    </row>
    <row r="333" spans="1:10" ht="12.75">
      <c r="A333" s="217" t="s">
        <v>78</v>
      </c>
      <c r="B333" s="218"/>
      <c r="C333" s="218"/>
      <c r="D333" s="1631"/>
      <c r="E333" s="448">
        <v>0.002</v>
      </c>
      <c r="F333" s="449">
        <v>2</v>
      </c>
      <c r="G333" s="449">
        <v>17</v>
      </c>
      <c r="H333" s="78"/>
      <c r="I333" s="78"/>
      <c r="J333" s="78"/>
    </row>
    <row r="334" spans="1:10" ht="12.75">
      <c r="A334" s="1300" t="s">
        <v>344</v>
      </c>
      <c r="B334" s="652"/>
      <c r="C334" s="652"/>
      <c r="D334" s="652"/>
      <c r="E334" s="652"/>
      <c r="F334" s="652"/>
      <c r="G334" s="652"/>
      <c r="H334" s="652">
        <v>15.95</v>
      </c>
      <c r="I334" s="652">
        <v>17.9</v>
      </c>
      <c r="J334" s="652">
        <v>5.9</v>
      </c>
    </row>
    <row r="336" ht="12.75">
      <c r="A336" s="1" t="s">
        <v>394</v>
      </c>
    </row>
    <row r="337" ht="12.75">
      <c r="A337" t="s">
        <v>395</v>
      </c>
    </row>
    <row r="338" ht="12.75">
      <c r="A338" t="s">
        <v>396</v>
      </c>
    </row>
    <row r="339" spans="1:2" ht="12.75">
      <c r="A339" s="1" t="s">
        <v>397</v>
      </c>
      <c r="B339" t="s">
        <v>398</v>
      </c>
    </row>
    <row r="340" spans="1:10" ht="15">
      <c r="A340" s="1621" t="s">
        <v>399</v>
      </c>
      <c r="B340" s="1622"/>
      <c r="C340" s="1622"/>
      <c r="D340" s="1622"/>
      <c r="E340" s="1622"/>
      <c r="F340" s="1622"/>
      <c r="G340" s="1622"/>
      <c r="H340" s="1622"/>
      <c r="I340" s="1622"/>
      <c r="J340" s="1622"/>
    </row>
    <row r="341" spans="1:10" ht="15">
      <c r="A341" s="1621"/>
      <c r="B341" s="1622"/>
      <c r="C341" s="1622"/>
      <c r="D341" s="1622"/>
      <c r="E341" s="1622"/>
      <c r="F341" s="1622"/>
      <c r="G341" s="1622"/>
      <c r="H341" s="1622"/>
      <c r="I341" s="1622"/>
      <c r="J341" s="1622"/>
    </row>
    <row r="342" spans="1:10" ht="15">
      <c r="A342" s="1621"/>
      <c r="B342" s="1622"/>
      <c r="C342" s="1622"/>
      <c r="D342" s="1622"/>
      <c r="E342" s="1622"/>
      <c r="F342" s="1622"/>
      <c r="G342" s="1622"/>
      <c r="H342" s="1622"/>
      <c r="I342" s="1622"/>
      <c r="J342" s="1622"/>
    </row>
    <row r="343" spans="1:10" ht="15">
      <c r="A343" s="1621"/>
      <c r="B343" s="1622"/>
      <c r="C343" s="1622"/>
      <c r="D343" s="466" t="s">
        <v>400</v>
      </c>
      <c r="E343" s="1622"/>
      <c r="F343" s="1622"/>
      <c r="G343" s="1622"/>
      <c r="H343" s="1622"/>
      <c r="I343" s="1622"/>
      <c r="J343" s="1622"/>
    </row>
    <row r="344" spans="1:10" ht="15">
      <c r="A344" s="1621"/>
      <c r="B344" s="1622"/>
      <c r="C344" s="1622"/>
      <c r="D344" s="1622" t="s">
        <v>401</v>
      </c>
      <c r="E344" s="1622"/>
      <c r="F344" s="1622"/>
      <c r="G344" s="1622"/>
      <c r="H344" s="1622"/>
      <c r="I344" s="1622"/>
      <c r="J344" s="1622"/>
    </row>
    <row r="345" spans="1:10" ht="15.75">
      <c r="A345" s="1774" t="s">
        <v>400</v>
      </c>
      <c r="B345" s="1774"/>
      <c r="C345" s="1774"/>
      <c r="D345" s="135" t="s">
        <v>99</v>
      </c>
      <c r="E345" s="1596" t="s">
        <v>4</v>
      </c>
      <c r="F345" s="1596" t="s">
        <v>5</v>
      </c>
      <c r="G345" s="1597" t="s">
        <v>268</v>
      </c>
      <c r="H345" s="1597" t="s">
        <v>269</v>
      </c>
      <c r="I345" s="1597" t="s">
        <v>270</v>
      </c>
      <c r="J345" s="1597" t="s">
        <v>271</v>
      </c>
    </row>
    <row r="346" spans="1:10" ht="15">
      <c r="A346" s="589" t="s">
        <v>402</v>
      </c>
      <c r="B346" s="590"/>
      <c r="C346" s="590"/>
      <c r="D346" s="720"/>
      <c r="E346" s="95">
        <v>0.075</v>
      </c>
      <c r="F346" s="96">
        <v>65</v>
      </c>
      <c r="G346" s="1632"/>
      <c r="H346" s="1632"/>
      <c r="I346" s="1632"/>
      <c r="J346" s="1633"/>
    </row>
    <row r="347" spans="1:10" ht="15">
      <c r="A347" s="47" t="s">
        <v>37</v>
      </c>
      <c r="B347" s="48"/>
      <c r="C347" s="48"/>
      <c r="D347" s="1048"/>
      <c r="E347" s="95">
        <v>0.004</v>
      </c>
      <c r="F347" s="96">
        <v>4</v>
      </c>
      <c r="G347" s="1632"/>
      <c r="H347" s="1632"/>
      <c r="I347" s="1632"/>
      <c r="J347" s="1633"/>
    </row>
    <row r="348" spans="1:10" ht="15">
      <c r="A348" s="47" t="s">
        <v>76</v>
      </c>
      <c r="B348" s="48"/>
      <c r="C348" s="48"/>
      <c r="D348" s="1048"/>
      <c r="E348" s="95">
        <v>0.005</v>
      </c>
      <c r="F348" s="96">
        <v>5</v>
      </c>
      <c r="G348" s="1632"/>
      <c r="H348" s="1632"/>
      <c r="I348" s="1632"/>
      <c r="J348" s="1633"/>
    </row>
    <row r="349" spans="1:10" ht="15">
      <c r="A349" s="47" t="s">
        <v>33</v>
      </c>
      <c r="B349" s="48"/>
      <c r="C349" s="48"/>
      <c r="D349" s="1048"/>
      <c r="E349" s="95">
        <v>0.015</v>
      </c>
      <c r="F349" s="96">
        <v>13</v>
      </c>
      <c r="G349" s="1632"/>
      <c r="H349" s="1632"/>
      <c r="I349" s="1632"/>
      <c r="J349" s="1633"/>
    </row>
    <row r="350" spans="1:10" ht="15">
      <c r="A350" s="47" t="s">
        <v>34</v>
      </c>
      <c r="B350" s="48"/>
      <c r="C350" s="48"/>
      <c r="D350" s="1048"/>
      <c r="E350" s="95">
        <v>0.02</v>
      </c>
      <c r="F350" s="96">
        <v>17</v>
      </c>
      <c r="G350" s="1632"/>
      <c r="H350" s="1632"/>
      <c r="I350" s="1632"/>
      <c r="J350" s="1633"/>
    </row>
    <row r="351" spans="1:10" ht="15">
      <c r="A351" s="704" t="s">
        <v>72</v>
      </c>
      <c r="B351" s="705"/>
      <c r="C351" s="705"/>
      <c r="D351" s="260"/>
      <c r="E351" s="706">
        <v>0.005</v>
      </c>
      <c r="F351" s="707">
        <v>5</v>
      </c>
      <c r="G351" s="1632"/>
      <c r="H351" s="1632"/>
      <c r="I351" s="1632"/>
      <c r="J351" s="1633"/>
    </row>
    <row r="352" spans="1:10" ht="15">
      <c r="A352" s="47" t="s">
        <v>78</v>
      </c>
      <c r="B352" s="48"/>
      <c r="C352" s="48"/>
      <c r="D352" s="1048"/>
      <c r="E352" s="95">
        <v>0.002</v>
      </c>
      <c r="F352" s="96">
        <v>2</v>
      </c>
      <c r="G352" s="1632"/>
      <c r="H352" s="1632"/>
      <c r="I352" s="1632"/>
      <c r="J352" s="1633"/>
    </row>
    <row r="353" spans="1:10" ht="15">
      <c r="A353" s="1890" t="s">
        <v>344</v>
      </c>
      <c r="B353" s="1890"/>
      <c r="C353" s="1890"/>
      <c r="D353" s="1626"/>
      <c r="E353" s="1626"/>
      <c r="F353" s="1626"/>
      <c r="G353" s="1634">
        <v>12.2</v>
      </c>
      <c r="H353" s="1634">
        <v>1.4</v>
      </c>
      <c r="I353" s="1634">
        <v>5.6</v>
      </c>
      <c r="J353" s="1635">
        <v>84.61</v>
      </c>
    </row>
    <row r="354" spans="1:10" ht="15">
      <c r="A354" s="1621"/>
      <c r="B354" s="1622"/>
      <c r="C354" s="1622"/>
      <c r="D354" s="1622"/>
      <c r="E354" s="1622"/>
      <c r="F354" s="1622"/>
      <c r="G354" s="1622"/>
      <c r="H354" s="1622"/>
      <c r="I354" s="1622"/>
      <c r="J354" s="1622"/>
    </row>
    <row r="355" spans="1:10" ht="15">
      <c r="A355" s="1636" t="s">
        <v>403</v>
      </c>
      <c r="B355" s="1622"/>
      <c r="C355" s="1622"/>
      <c r="D355" s="1622"/>
      <c r="E355" s="1622"/>
      <c r="F355" s="1622"/>
      <c r="G355" s="1622"/>
      <c r="H355" s="1622"/>
      <c r="I355" s="1622"/>
      <c r="J355" s="1622"/>
    </row>
    <row r="356" spans="1:10" ht="15">
      <c r="A356" s="1621" t="s">
        <v>404</v>
      </c>
      <c r="B356" s="1622"/>
      <c r="C356" s="1622"/>
      <c r="D356" s="1622"/>
      <c r="E356" s="1622"/>
      <c r="F356" s="1622"/>
      <c r="G356" s="1622"/>
      <c r="H356" s="1622"/>
      <c r="I356" s="1622"/>
      <c r="J356" s="1622"/>
    </row>
    <row r="357" spans="1:10" ht="15">
      <c r="A357" s="1621" t="s">
        <v>405</v>
      </c>
      <c r="B357" s="1622"/>
      <c r="C357" s="1622"/>
      <c r="D357" s="1622"/>
      <c r="E357" s="1622"/>
      <c r="F357" s="1622"/>
      <c r="G357" s="1622"/>
      <c r="H357" s="1622"/>
      <c r="I357" s="1622"/>
      <c r="J357" s="1622"/>
    </row>
    <row r="358" spans="1:10" ht="15">
      <c r="A358" s="1636" t="s">
        <v>406</v>
      </c>
      <c r="B358" s="1621" t="s">
        <v>407</v>
      </c>
      <c r="C358" s="1622"/>
      <c r="D358" s="1622"/>
      <c r="E358" s="1622"/>
      <c r="F358" s="1622"/>
      <c r="G358" s="1622"/>
      <c r="H358" s="1622"/>
      <c r="I358" s="1622"/>
      <c r="J358" s="1622"/>
    </row>
    <row r="359" spans="1:10" ht="15">
      <c r="A359" s="1621"/>
      <c r="B359" s="1622"/>
      <c r="C359" s="1622"/>
      <c r="D359" s="1622"/>
      <c r="E359" s="1622"/>
      <c r="F359" s="1622"/>
      <c r="G359" s="1622"/>
      <c r="H359" s="1622"/>
      <c r="I359" s="1622"/>
      <c r="J359" s="1622"/>
    </row>
    <row r="360" spans="1:10" ht="15">
      <c r="A360" s="1621"/>
      <c r="B360" s="1622"/>
      <c r="C360" s="1622"/>
      <c r="D360" s="1622"/>
      <c r="E360" s="1622"/>
      <c r="F360" s="1622"/>
      <c r="G360" s="1622"/>
      <c r="H360" s="1622"/>
      <c r="I360" s="1622"/>
      <c r="J360" s="1622"/>
    </row>
    <row r="361" spans="1:10" ht="12.75" customHeight="1">
      <c r="A361" s="1621"/>
      <c r="B361" s="1622"/>
      <c r="C361" s="1891" t="s">
        <v>408</v>
      </c>
      <c r="D361" s="1891"/>
      <c r="E361" s="1891"/>
      <c r="F361" s="1891"/>
      <c r="G361" s="1891"/>
      <c r="H361" s="1891"/>
      <c r="I361" s="1891"/>
      <c r="J361" s="1622"/>
    </row>
    <row r="362" spans="1:10" ht="15.75">
      <c r="A362" s="1621"/>
      <c r="B362" s="1622"/>
      <c r="C362" s="1622"/>
      <c r="D362" s="1637"/>
      <c r="E362" s="1622" t="s">
        <v>409</v>
      </c>
      <c r="F362" s="1622"/>
      <c r="G362" s="1622"/>
      <c r="H362" s="1622"/>
      <c r="I362" s="1622"/>
      <c r="J362" s="1622"/>
    </row>
    <row r="363" spans="1:10" ht="15">
      <c r="A363" s="1621"/>
      <c r="B363" s="1622"/>
      <c r="C363" s="1622"/>
      <c r="D363" s="1622"/>
      <c r="E363" s="1622"/>
      <c r="F363" s="1622"/>
      <c r="G363" s="1622"/>
      <c r="H363" s="1622"/>
      <c r="I363" s="1622"/>
      <c r="J363" s="1622"/>
    </row>
    <row r="364" spans="1:10" ht="26.25" customHeight="1">
      <c r="A364" s="1887" t="s">
        <v>408</v>
      </c>
      <c r="B364" s="1887"/>
      <c r="C364" s="1887"/>
      <c r="D364" s="574" t="s">
        <v>410</v>
      </c>
      <c r="E364" s="1596" t="s">
        <v>4</v>
      </c>
      <c r="F364" s="1596" t="s">
        <v>5</v>
      </c>
      <c r="G364" s="1597" t="s">
        <v>268</v>
      </c>
      <c r="H364" s="1597" t="s">
        <v>269</v>
      </c>
      <c r="I364" s="1597" t="s">
        <v>270</v>
      </c>
      <c r="J364" s="1597" t="s">
        <v>271</v>
      </c>
    </row>
    <row r="365" spans="1:10" ht="15">
      <c r="A365" s="318" t="s">
        <v>33</v>
      </c>
      <c r="B365" s="319"/>
      <c r="C365" s="319"/>
      <c r="D365" s="320"/>
      <c r="E365" s="717">
        <v>0.011</v>
      </c>
      <c r="F365" s="342">
        <v>10</v>
      </c>
      <c r="G365" s="1632"/>
      <c r="H365" s="1632"/>
      <c r="I365" s="1632"/>
      <c r="J365" s="1632"/>
    </row>
    <row r="366" spans="1:10" ht="15">
      <c r="A366" s="318" t="s">
        <v>16</v>
      </c>
      <c r="B366" s="319"/>
      <c r="C366" s="319"/>
      <c r="D366" s="320"/>
      <c r="E366" s="252">
        <v>0.005</v>
      </c>
      <c r="F366" s="253">
        <v>5</v>
      </c>
      <c r="G366" s="1632"/>
      <c r="H366" s="1632"/>
      <c r="I366" s="1632"/>
      <c r="J366" s="1632"/>
    </row>
    <row r="367" spans="1:10" ht="15">
      <c r="A367" s="318" t="s">
        <v>37</v>
      </c>
      <c r="B367" s="319"/>
      <c r="C367" s="319"/>
      <c r="D367" s="320"/>
      <c r="E367" s="252">
        <v>0.004</v>
      </c>
      <c r="F367" s="253">
        <v>4</v>
      </c>
      <c r="G367" s="1632"/>
      <c r="H367" s="1632"/>
      <c r="I367" s="1632"/>
      <c r="J367" s="1632"/>
    </row>
    <row r="368" spans="1:10" ht="15">
      <c r="A368" s="589" t="s">
        <v>46</v>
      </c>
      <c r="B368" s="591"/>
      <c r="C368" s="940"/>
      <c r="D368" s="50"/>
      <c r="E368" s="717">
        <v>0.011</v>
      </c>
      <c r="F368" s="941">
        <v>10</v>
      </c>
      <c r="G368" s="1632"/>
      <c r="H368" s="1632"/>
      <c r="I368" s="1632"/>
      <c r="J368" s="1632"/>
    </row>
    <row r="369" spans="1:10" ht="15">
      <c r="A369" s="47" t="s">
        <v>76</v>
      </c>
      <c r="B369" s="48"/>
      <c r="C369" s="48"/>
      <c r="D369" s="1048"/>
      <c r="E369" s="51">
        <v>0.005</v>
      </c>
      <c r="F369" s="52">
        <v>5</v>
      </c>
      <c r="G369" s="1632"/>
      <c r="H369" s="1632"/>
      <c r="I369" s="1632"/>
      <c r="J369" s="1632"/>
    </row>
    <row r="370" spans="1:10" ht="15">
      <c r="A370" s="318" t="s">
        <v>32</v>
      </c>
      <c r="B370" s="319"/>
      <c r="C370" s="319"/>
      <c r="D370" s="320"/>
      <c r="E370" s="717">
        <v>0.25</v>
      </c>
      <c r="F370" s="342">
        <v>150</v>
      </c>
      <c r="G370" s="1632"/>
      <c r="H370" s="1632"/>
      <c r="I370" s="1632"/>
      <c r="J370" s="1632"/>
    </row>
    <row r="371" spans="1:10" ht="15">
      <c r="A371" s="318" t="s">
        <v>411</v>
      </c>
      <c r="B371" s="319"/>
      <c r="C371" s="319"/>
      <c r="D371" s="320"/>
      <c r="E371" s="706">
        <v>0.03</v>
      </c>
      <c r="F371" s="707">
        <v>30</v>
      </c>
      <c r="G371" s="1632"/>
      <c r="H371" s="1632"/>
      <c r="I371" s="1632"/>
      <c r="J371" s="1632"/>
    </row>
    <row r="372" spans="1:10" ht="15">
      <c r="A372" s="47" t="s">
        <v>76</v>
      </c>
      <c r="B372" s="48"/>
      <c r="C372" s="48"/>
      <c r="D372" s="1048"/>
      <c r="E372" s="51">
        <v>0.005</v>
      </c>
      <c r="F372" s="52">
        <v>5</v>
      </c>
      <c r="G372" s="1632"/>
      <c r="H372" s="1632"/>
      <c r="I372" s="1632"/>
      <c r="J372" s="1632"/>
    </row>
    <row r="373" spans="1:10" ht="15">
      <c r="A373" s="1890" t="s">
        <v>344</v>
      </c>
      <c r="B373" s="1890"/>
      <c r="C373" s="1890"/>
      <c r="D373" s="1626"/>
      <c r="E373" s="1626"/>
      <c r="F373" s="1626"/>
      <c r="G373" s="1638">
        <v>8.8</v>
      </c>
      <c r="H373" s="1638">
        <v>12.8</v>
      </c>
      <c r="I373" s="1638">
        <v>33.1</v>
      </c>
      <c r="J373" s="1639">
        <v>285.96</v>
      </c>
    </row>
    <row r="374" spans="1:10" ht="15">
      <c r="A374" s="1621"/>
      <c r="B374" s="1622"/>
      <c r="C374" s="1622"/>
      <c r="D374" s="1622"/>
      <c r="E374" s="1622"/>
      <c r="F374" s="1622"/>
      <c r="G374" s="1622"/>
      <c r="H374" s="1622"/>
      <c r="I374" s="1622"/>
      <c r="J374" s="1622"/>
    </row>
    <row r="375" spans="1:10" ht="15">
      <c r="A375" s="1636" t="s">
        <v>412</v>
      </c>
      <c r="B375" s="1622"/>
      <c r="C375" s="1622"/>
      <c r="D375" s="1622"/>
      <c r="E375" s="1622"/>
      <c r="F375" s="1622"/>
      <c r="G375" s="1622"/>
      <c r="H375" s="1622"/>
      <c r="I375" s="1622"/>
      <c r="J375" s="1622"/>
    </row>
    <row r="376" spans="1:10" ht="15">
      <c r="A376" s="1621" t="s">
        <v>413</v>
      </c>
      <c r="B376" s="1622"/>
      <c r="C376" s="1622"/>
      <c r="D376" s="1622"/>
      <c r="E376" s="1622"/>
      <c r="F376" s="1622"/>
      <c r="G376" s="1622"/>
      <c r="H376" s="1622"/>
      <c r="I376" s="1622"/>
      <c r="J376" s="1622"/>
    </row>
    <row r="377" spans="1:10" ht="15">
      <c r="A377" s="1621" t="s">
        <v>414</v>
      </c>
      <c r="B377" s="1622"/>
      <c r="C377" s="1622"/>
      <c r="D377" s="1622"/>
      <c r="E377" s="1622"/>
      <c r="F377" s="1622"/>
      <c r="G377" s="1622"/>
      <c r="H377" s="1622"/>
      <c r="I377" s="1622"/>
      <c r="J377" s="1622"/>
    </row>
    <row r="378" spans="1:10" ht="15">
      <c r="A378" s="1621" t="s">
        <v>415</v>
      </c>
      <c r="B378" s="1622"/>
      <c r="C378" s="1622"/>
      <c r="D378" s="1622"/>
      <c r="E378" s="1622"/>
      <c r="F378" s="1622"/>
      <c r="G378" s="1622"/>
      <c r="H378" s="1622"/>
      <c r="I378" s="1622"/>
      <c r="J378" s="1622"/>
    </row>
    <row r="379" spans="1:10" ht="15">
      <c r="A379" s="1636"/>
      <c r="B379" s="1622"/>
      <c r="C379" s="1622"/>
      <c r="D379" s="1622"/>
      <c r="E379" s="1622"/>
      <c r="F379" s="1622"/>
      <c r="G379" s="1622"/>
      <c r="H379" s="1622"/>
      <c r="I379" s="1622"/>
      <c r="J379" s="1622"/>
    </row>
    <row r="380" spans="1:10" ht="15">
      <c r="A380" s="1636"/>
      <c r="B380" s="1622"/>
      <c r="C380" s="1622"/>
      <c r="D380" s="1622"/>
      <c r="E380" s="1622"/>
      <c r="F380" s="1622"/>
      <c r="G380" s="1622"/>
      <c r="H380" s="1622"/>
      <c r="I380" s="1622"/>
      <c r="J380" s="1622"/>
    </row>
    <row r="381" spans="1:10" ht="15.75">
      <c r="A381" s="1636"/>
      <c r="B381" s="1622"/>
      <c r="C381" s="1622"/>
      <c r="D381" s="1622"/>
      <c r="E381" s="1879" t="s">
        <v>416</v>
      </c>
      <c r="F381" s="1879"/>
      <c r="G381" s="1879"/>
      <c r="H381" s="1622"/>
      <c r="I381" s="1622"/>
      <c r="J381" s="1622"/>
    </row>
    <row r="382" spans="1:10" ht="15">
      <c r="A382" s="1636"/>
      <c r="B382" s="1622"/>
      <c r="C382" s="1622"/>
      <c r="D382" s="1622"/>
      <c r="E382" s="206" t="s">
        <v>417</v>
      </c>
      <c r="F382" s="1622"/>
      <c r="G382" s="1622"/>
      <c r="H382" s="1622"/>
      <c r="I382" s="1622"/>
      <c r="J382" s="1622"/>
    </row>
    <row r="383" spans="1:10" ht="15">
      <c r="A383" s="1636"/>
      <c r="B383" s="1622"/>
      <c r="C383" s="1622"/>
      <c r="D383" s="1622"/>
      <c r="E383" s="1622"/>
      <c r="F383" s="1622"/>
      <c r="G383" s="1622"/>
      <c r="H383" s="1622"/>
      <c r="I383" s="1622"/>
      <c r="J383" s="1622"/>
    </row>
    <row r="384" spans="1:10" ht="15.75">
      <c r="A384" s="1780" t="s">
        <v>416</v>
      </c>
      <c r="B384" s="1780"/>
      <c r="C384" s="1780"/>
      <c r="D384" s="637">
        <v>250</v>
      </c>
      <c r="E384" s="1596" t="s">
        <v>4</v>
      </c>
      <c r="F384" s="1596" t="s">
        <v>5</v>
      </c>
      <c r="G384" s="1597" t="s">
        <v>268</v>
      </c>
      <c r="H384" s="1597" t="s">
        <v>269</v>
      </c>
      <c r="I384" s="1597" t="s">
        <v>270</v>
      </c>
      <c r="J384" s="1597" t="s">
        <v>271</v>
      </c>
    </row>
    <row r="385" spans="1:10" ht="15">
      <c r="A385" s="340" t="s">
        <v>418</v>
      </c>
      <c r="B385" s="493"/>
      <c r="C385" s="493"/>
      <c r="D385" s="515"/>
      <c r="E385" s="190"/>
      <c r="F385" s="191"/>
      <c r="G385" s="1632"/>
      <c r="H385" s="1632"/>
      <c r="I385" s="1632"/>
      <c r="J385" s="1632"/>
    </row>
    <row r="386" spans="1:10" ht="15">
      <c r="A386" s="429" t="s">
        <v>16</v>
      </c>
      <c r="B386" s="431"/>
      <c r="C386" s="431"/>
      <c r="D386" s="832"/>
      <c r="E386" s="498">
        <v>0.003</v>
      </c>
      <c r="F386" s="435">
        <v>3</v>
      </c>
      <c r="G386" s="1632"/>
      <c r="H386" s="1632"/>
      <c r="I386" s="1632"/>
      <c r="J386" s="1632"/>
    </row>
    <row r="387" spans="1:10" ht="15">
      <c r="A387" s="1640" t="s">
        <v>46</v>
      </c>
      <c r="B387" s="249"/>
      <c r="C387" s="250"/>
      <c r="D387" s="251"/>
      <c r="E387" s="717">
        <v>0.021</v>
      </c>
      <c r="F387" s="342">
        <v>20</v>
      </c>
      <c r="G387" s="1632"/>
      <c r="H387" s="1632"/>
      <c r="I387" s="1632"/>
      <c r="J387" s="1632"/>
    </row>
    <row r="388" spans="1:10" ht="15">
      <c r="A388" s="1641" t="s">
        <v>33</v>
      </c>
      <c r="B388" s="341"/>
      <c r="C388" s="502"/>
      <c r="D388" s="517"/>
      <c r="E388" s="212">
        <v>0.013000000000000001</v>
      </c>
      <c r="F388" s="213">
        <v>10</v>
      </c>
      <c r="G388" s="1632"/>
      <c r="H388" s="1632"/>
      <c r="I388" s="1632"/>
      <c r="J388" s="1632"/>
    </row>
    <row r="389" spans="1:10" ht="15">
      <c r="A389" s="340" t="s">
        <v>34</v>
      </c>
      <c r="B389" s="341"/>
      <c r="C389" s="502"/>
      <c r="D389" s="517"/>
      <c r="E389" s="212">
        <v>0.015</v>
      </c>
      <c r="F389" s="213">
        <v>12</v>
      </c>
      <c r="G389" s="1632"/>
      <c r="H389" s="1632"/>
      <c r="I389" s="1632"/>
      <c r="J389" s="1632"/>
    </row>
    <row r="390" spans="1:10" ht="15">
      <c r="A390" s="504" t="s">
        <v>419</v>
      </c>
      <c r="B390" s="505"/>
      <c r="C390" s="505"/>
      <c r="D390" s="1379"/>
      <c r="E390" s="506">
        <v>0.0002</v>
      </c>
      <c r="F390" s="342">
        <v>0.2</v>
      </c>
      <c r="G390" s="1632"/>
      <c r="H390" s="1632"/>
      <c r="I390" s="1632"/>
      <c r="J390" s="1632"/>
    </row>
    <row r="391" spans="1:10" ht="15">
      <c r="A391" s="1890" t="s">
        <v>344</v>
      </c>
      <c r="B391" s="1890"/>
      <c r="C391" s="1890"/>
      <c r="D391" s="1626"/>
      <c r="E391" s="1626"/>
      <c r="F391" s="1626"/>
      <c r="G391" s="1638">
        <v>2.8</v>
      </c>
      <c r="H391" s="1638">
        <v>4.5</v>
      </c>
      <c r="I391" s="1638">
        <v>2</v>
      </c>
      <c r="J391" s="1639">
        <v>29.56</v>
      </c>
    </row>
    <row r="392" spans="1:10" ht="15">
      <c r="A392" s="1636"/>
      <c r="B392" s="1622"/>
      <c r="C392" s="1622"/>
      <c r="D392" s="1622"/>
      <c r="E392" s="1622"/>
      <c r="F392" s="1622"/>
      <c r="G392" s="1622"/>
      <c r="H392" s="1622"/>
      <c r="I392" s="1622"/>
      <c r="J392" s="1622"/>
    </row>
    <row r="393" spans="1:10" ht="15">
      <c r="A393" s="1636" t="s">
        <v>305</v>
      </c>
      <c r="B393" s="1622"/>
      <c r="C393" s="1622"/>
      <c r="D393" s="1622"/>
      <c r="E393" s="1622"/>
      <c r="F393" s="1622"/>
      <c r="G393" s="1622"/>
      <c r="H393" s="1622"/>
      <c r="I393" s="1622"/>
      <c r="J393" s="1622"/>
    </row>
    <row r="394" spans="1:10" ht="15">
      <c r="A394" s="1581" t="s">
        <v>420</v>
      </c>
      <c r="B394" s="1465"/>
      <c r="C394" s="1465"/>
      <c r="D394" s="1465"/>
      <c r="E394" s="1465"/>
      <c r="F394" s="1465"/>
      <c r="G394" s="1465"/>
      <c r="H394" s="1465"/>
      <c r="I394" s="1622"/>
      <c r="J394" s="1622"/>
    </row>
    <row r="395" spans="1:10" ht="15">
      <c r="A395" s="1465" t="s">
        <v>421</v>
      </c>
      <c r="B395" s="1465"/>
      <c r="C395" s="1465"/>
      <c r="D395" s="1465"/>
      <c r="E395" s="1465"/>
      <c r="F395" s="1465"/>
      <c r="G395" s="1465"/>
      <c r="H395" s="1465"/>
      <c r="I395" s="1622"/>
      <c r="J395" s="1622"/>
    </row>
    <row r="396" spans="1:10" ht="15">
      <c r="A396" s="1465" t="s">
        <v>422</v>
      </c>
      <c r="B396" s="1465"/>
      <c r="C396" s="1465"/>
      <c r="D396" s="1465"/>
      <c r="E396" s="1465"/>
      <c r="F396" s="1465"/>
      <c r="G396" s="1465"/>
      <c r="H396" s="1465"/>
      <c r="I396" s="1622"/>
      <c r="J396" s="1622"/>
    </row>
    <row r="397" spans="1:10" ht="15">
      <c r="A397" s="1622" t="s">
        <v>423</v>
      </c>
      <c r="B397" s="1622"/>
      <c r="C397" s="1622"/>
      <c r="D397" s="1622"/>
      <c r="E397" s="1622"/>
      <c r="F397" s="1622"/>
      <c r="G397" s="1622"/>
      <c r="H397" s="1622"/>
      <c r="I397" s="1622"/>
      <c r="J397" s="1622"/>
    </row>
    <row r="398" spans="1:10" ht="15">
      <c r="A398" s="1622"/>
      <c r="B398" s="1622"/>
      <c r="C398" s="1622"/>
      <c r="D398" s="1622"/>
      <c r="E398" s="1622"/>
      <c r="F398" s="1622"/>
      <c r="G398" s="1622"/>
      <c r="H398" s="1622"/>
      <c r="I398" s="1622"/>
      <c r="J398" s="1622"/>
    </row>
    <row r="399" spans="1:10" ht="12.75" customHeight="1">
      <c r="A399" s="1622"/>
      <c r="B399" s="1892" t="s">
        <v>106</v>
      </c>
      <c r="C399" s="1892"/>
      <c r="D399" s="1892"/>
      <c r="E399" s="1892"/>
      <c r="F399" s="1892"/>
      <c r="G399" s="1892"/>
      <c r="H399" s="1892"/>
      <c r="I399" s="1622"/>
      <c r="J399" s="1622"/>
    </row>
    <row r="400" spans="1:10" ht="12.75" customHeight="1">
      <c r="A400" s="1622"/>
      <c r="B400" s="1619"/>
      <c r="C400" s="1622"/>
      <c r="D400" s="1889" t="s">
        <v>384</v>
      </c>
      <c r="E400" s="1889"/>
      <c r="F400" s="1622"/>
      <c r="G400" s="1622"/>
      <c r="H400" s="1622"/>
      <c r="I400" s="1622"/>
      <c r="J400" s="1622"/>
    </row>
    <row r="401" spans="1:10" ht="15">
      <c r="A401" s="1622"/>
      <c r="B401" s="1622"/>
      <c r="C401" s="1622"/>
      <c r="D401" s="1622"/>
      <c r="E401" s="1622"/>
      <c r="F401" s="1622"/>
      <c r="G401" s="1622"/>
      <c r="H401" s="1622"/>
      <c r="I401" s="1622"/>
      <c r="J401" s="1622"/>
    </row>
    <row r="402" spans="1:10" ht="12.75" customHeight="1">
      <c r="A402" s="1793" t="s">
        <v>424</v>
      </c>
      <c r="B402" s="1793"/>
      <c r="C402" s="1793"/>
      <c r="D402" s="281">
        <v>80</v>
      </c>
      <c r="E402" s="1596" t="s">
        <v>4</v>
      </c>
      <c r="F402" s="1596" t="s">
        <v>5</v>
      </c>
      <c r="G402" s="1597" t="s">
        <v>268</v>
      </c>
      <c r="H402" s="1597" t="s">
        <v>269</v>
      </c>
      <c r="I402" s="1597" t="s">
        <v>270</v>
      </c>
      <c r="J402" s="1597" t="s">
        <v>271</v>
      </c>
    </row>
    <row r="403" spans="1:10" ht="12.75">
      <c r="A403" s="340" t="s">
        <v>107</v>
      </c>
      <c r="B403" s="341"/>
      <c r="C403" s="341"/>
      <c r="D403" s="517"/>
      <c r="E403" s="533">
        <v>0.1</v>
      </c>
      <c r="F403" s="534">
        <v>70</v>
      </c>
      <c r="G403" s="535"/>
      <c r="H403" s="85"/>
      <c r="I403" s="85"/>
      <c r="J403" s="86"/>
    </row>
    <row r="404" spans="1:10" ht="12.75">
      <c r="A404" s="68" t="s">
        <v>16</v>
      </c>
      <c r="B404" s="341"/>
      <c r="C404" s="341"/>
      <c r="D404" s="517"/>
      <c r="E404" s="77">
        <v>0.005</v>
      </c>
      <c r="F404" s="78">
        <v>5</v>
      </c>
      <c r="G404" s="290"/>
      <c r="H404" s="45"/>
      <c r="I404" s="45"/>
      <c r="J404" s="46"/>
    </row>
    <row r="405" spans="1:10" ht="12.75">
      <c r="A405" s="340" t="s">
        <v>37</v>
      </c>
      <c r="B405" s="341"/>
      <c r="C405" s="341"/>
      <c r="D405" s="725"/>
      <c r="E405" s="562">
        <v>0.004</v>
      </c>
      <c r="F405" s="564">
        <v>4</v>
      </c>
      <c r="G405" s="214"/>
      <c r="H405" s="257"/>
      <c r="I405" s="258"/>
      <c r="J405" s="55"/>
    </row>
    <row r="406" spans="1:10" ht="12.75">
      <c r="A406" s="340" t="s">
        <v>33</v>
      </c>
      <c r="B406" s="341"/>
      <c r="C406" s="341"/>
      <c r="D406" s="725"/>
      <c r="E406" s="562">
        <v>0.02</v>
      </c>
      <c r="F406" s="564">
        <v>14</v>
      </c>
      <c r="G406" s="214"/>
      <c r="H406" s="204"/>
      <c r="I406" s="204"/>
      <c r="J406" s="205"/>
    </row>
    <row r="407" spans="1:10" ht="12.75">
      <c r="A407" s="340" t="s">
        <v>34</v>
      </c>
      <c r="B407" s="341"/>
      <c r="C407" s="341"/>
      <c r="D407" s="725"/>
      <c r="E407" s="562">
        <v>0.025</v>
      </c>
      <c r="F407" s="564">
        <v>18</v>
      </c>
      <c r="G407" s="214"/>
      <c r="H407" s="204"/>
      <c r="I407" s="204"/>
      <c r="J407" s="205"/>
    </row>
    <row r="408" spans="1:10" ht="12.75">
      <c r="A408" s="340" t="s">
        <v>108</v>
      </c>
      <c r="B408" s="341"/>
      <c r="C408" s="341"/>
      <c r="D408" s="725"/>
      <c r="E408" s="562">
        <v>0.011</v>
      </c>
      <c r="F408" s="564">
        <v>10</v>
      </c>
      <c r="G408" s="214"/>
      <c r="H408" s="337"/>
      <c r="I408" s="337"/>
      <c r="J408" s="1624"/>
    </row>
    <row r="409" spans="1:10" ht="12.75">
      <c r="A409" s="340" t="s">
        <v>78</v>
      </c>
      <c r="B409" s="341"/>
      <c r="C409" s="341"/>
      <c r="D409" s="725"/>
      <c r="E409" s="562"/>
      <c r="F409" s="564"/>
      <c r="G409" s="214"/>
      <c r="H409" s="257"/>
      <c r="I409" s="258"/>
      <c r="J409" s="55"/>
    </row>
    <row r="410" spans="1:10" ht="12.75">
      <c r="A410" s="566" t="s">
        <v>76</v>
      </c>
      <c r="B410" s="341"/>
      <c r="C410" s="341"/>
      <c r="D410" s="725"/>
      <c r="E410" s="562">
        <v>0.01</v>
      </c>
      <c r="F410" s="564">
        <v>10</v>
      </c>
      <c r="G410" s="214"/>
      <c r="H410" s="258"/>
      <c r="I410" s="258"/>
      <c r="J410" s="327"/>
    </row>
    <row r="411" spans="1:10" ht="12.75" customHeight="1">
      <c r="A411" s="1888" t="s">
        <v>344</v>
      </c>
      <c r="B411" s="1888"/>
      <c r="C411" s="1888"/>
      <c r="D411" s="1616"/>
      <c r="E411" s="1617"/>
      <c r="F411" s="1616"/>
      <c r="G411" s="1626">
        <v>13.7</v>
      </c>
      <c r="H411" s="1626">
        <v>8.65</v>
      </c>
      <c r="I411" s="1626">
        <v>6</v>
      </c>
      <c r="J411" s="1627">
        <v>156.75</v>
      </c>
    </row>
    <row r="412" spans="1:10" ht="15">
      <c r="A412" s="1622"/>
      <c r="B412" s="1622"/>
      <c r="C412" s="1622"/>
      <c r="D412" s="1622"/>
      <c r="E412" s="1622"/>
      <c r="F412" s="1622"/>
      <c r="G412" s="1622"/>
      <c r="H412" s="1622"/>
      <c r="I412" s="1622"/>
      <c r="J412" s="1622"/>
    </row>
    <row r="413" spans="1:10" ht="15.75">
      <c r="A413" s="1619" t="s">
        <v>305</v>
      </c>
      <c r="B413" s="1622"/>
      <c r="C413" s="1622"/>
      <c r="D413" s="1622"/>
      <c r="E413" s="1622"/>
      <c r="F413" s="1622"/>
      <c r="G413" s="1622"/>
      <c r="H413" s="1622"/>
      <c r="I413" s="1622"/>
      <c r="J413" s="1622"/>
    </row>
    <row r="414" spans="1:10" ht="15">
      <c r="A414" s="1465" t="s">
        <v>386</v>
      </c>
      <c r="B414" s="1465"/>
      <c r="C414" s="1465"/>
      <c r="D414" s="1465"/>
      <c r="E414" s="1465"/>
      <c r="F414" s="1465"/>
      <c r="G414" s="1465"/>
      <c r="H414" s="1622"/>
      <c r="I414" s="1622"/>
      <c r="J414" s="1622"/>
    </row>
    <row r="415" spans="1:10" ht="15">
      <c r="A415" s="1465" t="s">
        <v>387</v>
      </c>
      <c r="B415" s="1465"/>
      <c r="C415" s="1465"/>
      <c r="D415" s="1465"/>
      <c r="E415" s="1465"/>
      <c r="F415" s="1465"/>
      <c r="G415" s="1465"/>
      <c r="H415" s="1622"/>
      <c r="I415" s="1622"/>
      <c r="J415" s="1622"/>
    </row>
    <row r="416" spans="1:10" ht="15">
      <c r="A416" s="1465" t="s">
        <v>425</v>
      </c>
      <c r="B416" s="1465"/>
      <c r="C416" s="1465"/>
      <c r="D416" s="1465"/>
      <c r="E416" s="1465"/>
      <c r="F416" s="1465"/>
      <c r="G416" s="1465"/>
      <c r="H416" s="1622"/>
      <c r="I416" s="1622"/>
      <c r="J416" s="1622"/>
    </row>
    <row r="417" spans="1:10" ht="15">
      <c r="A417" s="1465"/>
      <c r="B417" s="1465"/>
      <c r="C417" s="1465"/>
      <c r="D417" s="1465"/>
      <c r="E417" s="1465"/>
      <c r="F417" s="1465"/>
      <c r="G417" s="1465"/>
      <c r="H417" s="1622"/>
      <c r="I417" s="1622"/>
      <c r="J417" s="1622"/>
    </row>
    <row r="418" spans="1:10" ht="15">
      <c r="A418" s="1465"/>
      <c r="B418" s="1465"/>
      <c r="C418" s="1465"/>
      <c r="D418" s="1465"/>
      <c r="E418" s="1465"/>
      <c r="F418" s="1465"/>
      <c r="G418" s="1465"/>
      <c r="H418" s="1622"/>
      <c r="I418" s="1622"/>
      <c r="J418" s="1622"/>
    </row>
    <row r="419" ht="12.75">
      <c r="C419" s="1" t="s">
        <v>260</v>
      </c>
    </row>
    <row r="421" spans="1:10" ht="12.75">
      <c r="A421" s="1773" t="s">
        <v>426</v>
      </c>
      <c r="B421" s="1773"/>
      <c r="C421" s="1773"/>
      <c r="D421" s="1596" t="s">
        <v>99</v>
      </c>
      <c r="E421" s="1596" t="s">
        <v>4</v>
      </c>
      <c r="F421" s="1596" t="s">
        <v>5</v>
      </c>
      <c r="G421" s="653"/>
      <c r="H421" s="1642"/>
      <c r="I421" s="67"/>
      <c r="J421" s="67"/>
    </row>
    <row r="422" spans="1:10" ht="12.75">
      <c r="A422" s="1547" t="s">
        <v>107</v>
      </c>
      <c r="B422" s="69"/>
      <c r="C422" s="69"/>
      <c r="D422" s="851"/>
      <c r="E422" s="533">
        <v>0.1</v>
      </c>
      <c r="F422" s="534">
        <v>70</v>
      </c>
      <c r="G422" s="852"/>
      <c r="H422" s="79"/>
      <c r="I422" s="1643"/>
      <c r="J422" s="203"/>
    </row>
    <row r="423" spans="1:10" ht="12.75">
      <c r="A423" s="340" t="s">
        <v>33</v>
      </c>
      <c r="B423" s="69"/>
      <c r="C423" s="69"/>
      <c r="D423" s="448"/>
      <c r="E423" s="562">
        <v>0.015</v>
      </c>
      <c r="F423" s="564">
        <v>13</v>
      </c>
      <c r="G423" s="449"/>
      <c r="H423" s="79"/>
      <c r="I423" s="1174"/>
      <c r="J423" s="912"/>
    </row>
    <row r="424" spans="1:10" ht="12.75">
      <c r="A424" s="340" t="s">
        <v>42</v>
      </c>
      <c r="B424" s="69"/>
      <c r="C424" s="69"/>
      <c r="D424" s="448"/>
      <c r="E424" s="562">
        <v>0.01</v>
      </c>
      <c r="F424" s="564">
        <v>10</v>
      </c>
      <c r="G424" s="449"/>
      <c r="H424" s="79"/>
      <c r="I424" s="1174"/>
      <c r="J424" s="912"/>
    </row>
    <row r="425" spans="1:10" ht="12.75">
      <c r="A425" s="340" t="s">
        <v>37</v>
      </c>
      <c r="B425" s="69"/>
      <c r="C425" s="69"/>
      <c r="D425" s="448"/>
      <c r="E425" s="562">
        <v>0.004</v>
      </c>
      <c r="F425" s="564">
        <v>4</v>
      </c>
      <c r="G425" s="449"/>
      <c r="H425" s="79"/>
      <c r="I425" s="1174"/>
      <c r="J425" s="912"/>
    </row>
    <row r="426" spans="1:10" ht="12.75">
      <c r="A426" s="340" t="s">
        <v>46</v>
      </c>
      <c r="B426" s="69"/>
      <c r="C426" s="69"/>
      <c r="D426" s="448"/>
      <c r="E426" s="562">
        <v>0.008</v>
      </c>
      <c r="F426" s="564">
        <v>7</v>
      </c>
      <c r="G426" s="449"/>
      <c r="H426" s="79"/>
      <c r="I426" s="1174"/>
      <c r="J426" s="912"/>
    </row>
    <row r="427" spans="1:10" ht="12.75">
      <c r="A427" s="340" t="s">
        <v>76</v>
      </c>
      <c r="B427" s="69"/>
      <c r="C427" s="1644"/>
      <c r="D427" s="448"/>
      <c r="E427" s="562">
        <v>0.005</v>
      </c>
      <c r="F427" s="564">
        <v>5</v>
      </c>
      <c r="G427" s="449"/>
      <c r="H427" s="79"/>
      <c r="I427" s="1174"/>
      <c r="J427" s="912"/>
    </row>
    <row r="428" spans="1:10" ht="12.75">
      <c r="A428" s="1645" t="s">
        <v>18</v>
      </c>
      <c r="B428" s="69"/>
      <c r="C428" s="1644"/>
      <c r="D428" s="448"/>
      <c r="E428" s="1646">
        <v>0.02</v>
      </c>
      <c r="F428" s="530">
        <v>20</v>
      </c>
      <c r="G428" s="449"/>
      <c r="H428" s="79"/>
      <c r="I428" s="1174"/>
      <c r="J428" s="912"/>
    </row>
    <row r="429" spans="1:10" ht="12.75">
      <c r="A429" s="87" t="s">
        <v>100</v>
      </c>
      <c r="B429" s="1519"/>
      <c r="C429" s="1647"/>
      <c r="D429" s="66"/>
      <c r="E429" s="235"/>
      <c r="F429" s="236"/>
      <c r="G429" s="21"/>
      <c r="H429" s="653"/>
      <c r="I429" s="1648"/>
      <c r="J429" s="1649"/>
    </row>
    <row r="430" spans="1:10" ht="12.75">
      <c r="A430" s="217" t="s">
        <v>78</v>
      </c>
      <c r="B430" s="69"/>
      <c r="C430" s="69"/>
      <c r="D430" s="448"/>
      <c r="E430" s="448">
        <v>0.002</v>
      </c>
      <c r="F430" s="449">
        <v>2</v>
      </c>
      <c r="G430" s="449"/>
      <c r="H430" s="79"/>
      <c r="I430" s="1174"/>
      <c r="J430" s="912"/>
    </row>
    <row r="431" spans="1:10" ht="12.75">
      <c r="A431" s="217" t="s">
        <v>76</v>
      </c>
      <c r="B431" s="69"/>
      <c r="C431" s="69"/>
      <c r="D431" s="448"/>
      <c r="E431" s="448">
        <v>0.005</v>
      </c>
      <c r="F431" s="449">
        <v>5</v>
      </c>
      <c r="G431" s="449"/>
      <c r="H431" s="79"/>
      <c r="I431" s="1174"/>
      <c r="J431" s="912"/>
    </row>
    <row r="432" spans="1:10" ht="12.75">
      <c r="A432" s="516" t="s">
        <v>16</v>
      </c>
      <c r="B432" s="69"/>
      <c r="C432" s="69"/>
      <c r="D432" s="448"/>
      <c r="E432" s="448">
        <v>0.002</v>
      </c>
      <c r="F432" s="449">
        <v>2</v>
      </c>
      <c r="G432" s="449"/>
      <c r="H432" s="79"/>
      <c r="I432" s="1174"/>
      <c r="J432" s="912"/>
    </row>
    <row r="433" spans="1:10" ht="15.75">
      <c r="A433" s="1888" t="s">
        <v>344</v>
      </c>
      <c r="B433" s="1888"/>
      <c r="C433" s="1888"/>
      <c r="D433" s="1616"/>
      <c r="E433" s="1617"/>
      <c r="F433" s="1616"/>
      <c r="G433" s="1650">
        <v>15.6</v>
      </c>
      <c r="H433" s="1650">
        <v>6</v>
      </c>
      <c r="I433" s="1650">
        <v>14</v>
      </c>
      <c r="J433" s="1651">
        <v>175.82</v>
      </c>
    </row>
    <row r="434" spans="1:10" ht="12.75">
      <c r="A434" s="1893"/>
      <c r="B434" s="1893"/>
      <c r="C434" s="1893"/>
      <c r="D434" s="1652"/>
      <c r="E434" s="1653"/>
      <c r="F434" s="1653"/>
      <c r="G434" s="1654"/>
      <c r="H434" s="1655"/>
      <c r="I434" s="1652"/>
      <c r="J434" s="1652"/>
    </row>
    <row r="435" spans="1:10" ht="12.75">
      <c r="A435" s="19" t="s">
        <v>305</v>
      </c>
      <c r="B435" s="1653"/>
      <c r="C435" s="1653" t="s">
        <v>427</v>
      </c>
      <c r="D435" s="1653"/>
      <c r="E435" s="1656"/>
      <c r="F435" s="1653"/>
      <c r="G435" s="1654"/>
      <c r="H435" s="1654"/>
      <c r="I435" s="1657"/>
      <c r="J435" s="1657"/>
    </row>
    <row r="436" spans="1:10" ht="12.75">
      <c r="A436" s="1653" t="s">
        <v>428</v>
      </c>
      <c r="B436" s="1653"/>
      <c r="C436" s="1653"/>
      <c r="D436" s="1653"/>
      <c r="E436" s="1656"/>
      <c r="F436" s="1653"/>
      <c r="G436" s="1654"/>
      <c r="H436" s="1654"/>
      <c r="I436" s="1657"/>
      <c r="J436" s="1657"/>
    </row>
    <row r="437" spans="1:10" ht="12.75">
      <c r="A437" s="1653" t="s">
        <v>429</v>
      </c>
      <c r="B437" s="1653"/>
      <c r="C437" s="1653"/>
      <c r="D437" s="1653"/>
      <c r="E437" s="1656"/>
      <c r="F437" s="1653"/>
      <c r="G437" s="1654"/>
      <c r="H437" s="1654"/>
      <c r="I437" s="1657"/>
      <c r="J437" s="1657"/>
    </row>
    <row r="438" spans="1:10" ht="12.75">
      <c r="A438" s="1658" t="s">
        <v>397</v>
      </c>
      <c r="B438" s="1653" t="s">
        <v>430</v>
      </c>
      <c r="C438" s="1653"/>
      <c r="D438" s="1653"/>
      <c r="E438" s="1656"/>
      <c r="F438" s="1653"/>
      <c r="G438" s="1654"/>
      <c r="H438" s="1654"/>
      <c r="I438" s="1657"/>
      <c r="J438" s="1657"/>
    </row>
    <row r="439" spans="1:10" ht="12.75">
      <c r="A439" s="286" t="s">
        <v>431</v>
      </c>
      <c r="B439" s="286"/>
      <c r="C439" s="286"/>
      <c r="D439" s="286"/>
      <c r="E439" s="270"/>
      <c r="F439" s="28"/>
      <c r="G439" s="150"/>
      <c r="H439" s="150"/>
      <c r="I439" s="152"/>
      <c r="J439" s="152"/>
    </row>
    <row r="440" spans="1:10" ht="12.75">
      <c r="A440" s="286"/>
      <c r="B440" s="286"/>
      <c r="C440" s="286"/>
      <c r="D440" s="286"/>
      <c r="E440" s="270"/>
      <c r="F440" s="28"/>
      <c r="G440" s="150"/>
      <c r="H440" s="150"/>
      <c r="I440" s="152"/>
      <c r="J440" s="152"/>
    </row>
    <row r="441" spans="1:10" ht="12.75">
      <c r="A441" s="286"/>
      <c r="B441" s="286"/>
      <c r="C441" s="286"/>
      <c r="D441" s="286"/>
      <c r="E441" s="270"/>
      <c r="F441" s="28"/>
      <c r="G441" s="150"/>
      <c r="H441" s="150"/>
      <c r="I441" s="152"/>
      <c r="J441" s="152"/>
    </row>
    <row r="442" ht="15.75">
      <c r="C442" s="657" t="s">
        <v>432</v>
      </c>
    </row>
    <row r="443" ht="12.75">
      <c r="C443" t="s">
        <v>341</v>
      </c>
    </row>
    <row r="444" spans="1:10" ht="15">
      <c r="A444" s="1465"/>
      <c r="B444" s="1465"/>
      <c r="C444" s="1465"/>
      <c r="D444" s="1465"/>
      <c r="E444" s="1465"/>
      <c r="F444" s="1465"/>
      <c r="G444" s="1465"/>
      <c r="H444" s="1465"/>
      <c r="I444" s="1465"/>
      <c r="J444" s="1465"/>
    </row>
    <row r="445" spans="1:10" ht="15.75">
      <c r="A445" s="1882" t="s">
        <v>342</v>
      </c>
      <c r="B445" s="1882"/>
      <c r="C445" s="1882"/>
      <c r="D445" s="1882"/>
      <c r="E445" s="1557" t="s">
        <v>4</v>
      </c>
      <c r="F445" s="1557" t="s">
        <v>5</v>
      </c>
      <c r="G445" s="1467" t="s">
        <v>268</v>
      </c>
      <c r="H445" s="1467" t="s">
        <v>269</v>
      </c>
      <c r="I445" s="1467" t="s">
        <v>270</v>
      </c>
      <c r="J445" s="1467" t="s">
        <v>271</v>
      </c>
    </row>
    <row r="446" spans="1:10" ht="15">
      <c r="A446" s="1659" t="s">
        <v>30</v>
      </c>
      <c r="B446" s="675"/>
      <c r="C446" s="675"/>
      <c r="D446" s="1558"/>
      <c r="E446" s="1559"/>
      <c r="F446" s="1558"/>
      <c r="G446" s="1559"/>
      <c r="H446" s="1560"/>
      <c r="I446" s="1560"/>
      <c r="J446" s="1561"/>
    </row>
    <row r="447" spans="1:10" ht="15">
      <c r="A447" s="340" t="s">
        <v>16</v>
      </c>
      <c r="B447" s="1529"/>
      <c r="C447" s="1529"/>
      <c r="D447" s="1562"/>
      <c r="E447" s="498">
        <v>0.003</v>
      </c>
      <c r="F447" s="435">
        <v>3</v>
      </c>
      <c r="G447" s="1563"/>
      <c r="H447" s="1564"/>
      <c r="I447" s="1564"/>
      <c r="J447" s="1565"/>
    </row>
    <row r="448" spans="1:10" ht="15">
      <c r="A448" s="508" t="s">
        <v>34</v>
      </c>
      <c r="B448" s="1567"/>
      <c r="C448" s="1567"/>
      <c r="D448" s="1568"/>
      <c r="E448" s="510">
        <v>0.013000000000000001</v>
      </c>
      <c r="F448" s="511">
        <v>11</v>
      </c>
      <c r="G448" s="1569"/>
      <c r="H448" s="1570"/>
      <c r="I448" s="1570"/>
      <c r="J448" s="1571"/>
    </row>
    <row r="449" spans="1:10" ht="15">
      <c r="A449" s="340" t="s">
        <v>33</v>
      </c>
      <c r="B449" s="1529"/>
      <c r="C449" s="1529"/>
      <c r="D449" s="1562"/>
      <c r="E449" s="498">
        <v>0.015</v>
      </c>
      <c r="F449" s="905">
        <v>12</v>
      </c>
      <c r="G449" s="1563"/>
      <c r="H449" s="1570"/>
      <c r="I449" s="1570"/>
      <c r="J449" s="1571"/>
    </row>
    <row r="450" spans="1:10" ht="15">
      <c r="A450" s="508" t="s">
        <v>176</v>
      </c>
      <c r="B450" s="1529"/>
      <c r="C450" s="1529"/>
      <c r="D450" s="1572"/>
      <c r="E450" s="510">
        <v>0.015</v>
      </c>
      <c r="F450" s="1120">
        <v>15</v>
      </c>
      <c r="G450" s="1570"/>
      <c r="H450" s="1570"/>
      <c r="I450" s="1570"/>
      <c r="J450" s="1571"/>
    </row>
    <row r="451" spans="1:10" ht="15">
      <c r="A451" s="508" t="s">
        <v>32</v>
      </c>
      <c r="B451" s="950"/>
      <c r="C451" s="950"/>
      <c r="D451" s="1572"/>
      <c r="E451" s="199">
        <v>0.115</v>
      </c>
      <c r="F451" s="194">
        <v>80</v>
      </c>
      <c r="G451" s="1570"/>
      <c r="H451" s="1570"/>
      <c r="I451" s="1570"/>
      <c r="J451" s="1571"/>
    </row>
    <row r="452" spans="1:10" ht="15.75">
      <c r="A452" s="1578" t="s">
        <v>344</v>
      </c>
      <c r="B452" s="1506"/>
      <c r="C452" s="1506"/>
      <c r="D452" s="1506"/>
      <c r="E452" s="1506"/>
      <c r="F452" s="1506"/>
      <c r="G452" s="1579">
        <v>3.02</v>
      </c>
      <c r="H452" s="1579">
        <v>2.8</v>
      </c>
      <c r="I452" s="1579">
        <v>26</v>
      </c>
      <c r="J452" s="1580">
        <v>140.18</v>
      </c>
    </row>
    <row r="454" spans="1:10" ht="15.75">
      <c r="A454" s="1539" t="s">
        <v>305</v>
      </c>
      <c r="B454" s="1465"/>
      <c r="C454" s="1510"/>
      <c r="D454" s="1465"/>
      <c r="E454" s="1465"/>
      <c r="F454" s="1465"/>
      <c r="G454" s="1465"/>
      <c r="H454" s="1465"/>
      <c r="I454" s="1465"/>
      <c r="J454" s="1465"/>
    </row>
    <row r="455" spans="1:10" ht="15">
      <c r="A455" s="1581" t="s">
        <v>345</v>
      </c>
      <c r="B455" s="1465"/>
      <c r="C455" s="1465"/>
      <c r="D455" s="1465"/>
      <c r="E455" s="1465"/>
      <c r="F455" s="1465"/>
      <c r="G455" s="1465"/>
      <c r="H455" s="1465"/>
      <c r="I455" s="1465"/>
      <c r="J455" s="1465"/>
    </row>
    <row r="456" spans="1:10" ht="15">
      <c r="A456" s="1465" t="s">
        <v>346</v>
      </c>
      <c r="B456" s="1465"/>
      <c r="C456" s="1465"/>
      <c r="D456" s="1465"/>
      <c r="E456" s="1465"/>
      <c r="F456" s="1465"/>
      <c r="G456" s="1465"/>
      <c r="H456" s="1465"/>
      <c r="I456" s="1465"/>
      <c r="J456" s="1465"/>
    </row>
    <row r="457" spans="1:10" ht="15">
      <c r="A457" s="1465" t="s">
        <v>433</v>
      </c>
      <c r="B457" s="1465"/>
      <c r="C457" s="1465"/>
      <c r="D457" s="1465"/>
      <c r="E457" s="1465"/>
      <c r="F457" s="1465"/>
      <c r="G457" s="1465"/>
      <c r="H457" s="1465"/>
      <c r="I457" s="1465"/>
      <c r="J457" s="1465"/>
    </row>
    <row r="458" spans="1:10" ht="15">
      <c r="A458" s="1465" t="s">
        <v>434</v>
      </c>
      <c r="B458" s="1465"/>
      <c r="C458" s="1465"/>
      <c r="D458" s="1465"/>
      <c r="E458" s="1465"/>
      <c r="F458" s="1465"/>
      <c r="G458" s="1465"/>
      <c r="H458" s="1465"/>
      <c r="I458" s="1465"/>
      <c r="J458" s="1465"/>
    </row>
    <row r="459" spans="1:10" ht="15.75">
      <c r="A459" s="1494" t="s">
        <v>435</v>
      </c>
      <c r="B459" s="1465"/>
      <c r="C459" s="1465"/>
      <c r="D459" s="1465"/>
      <c r="E459" s="1465"/>
      <c r="F459" s="1465"/>
      <c r="G459" s="1465"/>
      <c r="H459" s="1465"/>
      <c r="I459" s="1465"/>
      <c r="J459" s="1465"/>
    </row>
    <row r="460" spans="1:10" ht="15">
      <c r="A460" s="1465" t="s">
        <v>436</v>
      </c>
      <c r="B460" s="1465"/>
      <c r="C460" s="1465"/>
      <c r="D460" s="1465"/>
      <c r="E460" s="1465"/>
      <c r="F460" s="1465"/>
      <c r="G460" s="1465"/>
      <c r="H460" s="1465"/>
      <c r="I460" s="1465"/>
      <c r="J460" s="1465"/>
    </row>
    <row r="461" spans="1:10" ht="12.75">
      <c r="A461" s="1660"/>
      <c r="B461" s="1661"/>
      <c r="C461" s="1621"/>
      <c r="D461" s="1621"/>
      <c r="E461" s="1621"/>
      <c r="F461" s="1621"/>
      <c r="G461" s="1621"/>
      <c r="H461" s="1621"/>
      <c r="I461" s="1621"/>
      <c r="J461" s="1621"/>
    </row>
    <row r="462" spans="1:10" ht="14.25">
      <c r="A462" s="1662"/>
      <c r="B462" s="1621"/>
      <c r="C462" s="1621"/>
      <c r="D462" s="1621"/>
      <c r="E462" s="1621"/>
      <c r="F462" s="1621"/>
      <c r="G462" s="1621"/>
      <c r="H462" s="1621"/>
      <c r="I462" s="1621"/>
      <c r="J462" s="1621"/>
    </row>
    <row r="464" ht="15.75">
      <c r="C464" s="1663" t="s">
        <v>437</v>
      </c>
    </row>
    <row r="465" ht="12.75">
      <c r="C465" t="s">
        <v>304</v>
      </c>
    </row>
    <row r="466" spans="1:9" ht="31.5">
      <c r="A466" s="1805" t="s">
        <v>437</v>
      </c>
      <c r="B466" s="1805"/>
      <c r="C466" s="1805"/>
      <c r="D466" s="1664" t="s">
        <v>4</v>
      </c>
      <c r="E466" s="1664" t="s">
        <v>5</v>
      </c>
      <c r="F466" s="1665" t="s">
        <v>391</v>
      </c>
      <c r="G466" s="1666" t="s">
        <v>392</v>
      </c>
      <c r="H466" s="1667" t="s">
        <v>393</v>
      </c>
      <c r="I466" s="1668" t="s">
        <v>438</v>
      </c>
    </row>
    <row r="467" spans="1:9" ht="12.75">
      <c r="A467" s="340" t="s">
        <v>439</v>
      </c>
      <c r="B467" s="1669"/>
      <c r="C467" s="1669"/>
      <c r="D467" s="190">
        <v>0.1</v>
      </c>
      <c r="E467" s="191">
        <v>80</v>
      </c>
      <c r="F467" s="73"/>
      <c r="G467" s="73"/>
      <c r="H467" s="73"/>
      <c r="I467" s="353"/>
    </row>
    <row r="468" spans="1:9" ht="12.75">
      <c r="A468" s="516" t="s">
        <v>16</v>
      </c>
      <c r="B468" s="218"/>
      <c r="C468" s="218"/>
      <c r="D468" s="448">
        <v>0.003</v>
      </c>
      <c r="E468" s="78">
        <v>3</v>
      </c>
      <c r="F468" s="78"/>
      <c r="G468" s="78"/>
      <c r="H468" s="78"/>
      <c r="I468" s="762"/>
    </row>
    <row r="469" spans="1:9" ht="12.75">
      <c r="A469" s="429" t="s">
        <v>48</v>
      </c>
      <c r="B469" s="218"/>
      <c r="C469" s="218"/>
      <c r="D469" s="212">
        <v>0.01</v>
      </c>
      <c r="E469" s="213">
        <v>10</v>
      </c>
      <c r="F469" s="78"/>
      <c r="G469" s="78"/>
      <c r="H469" s="78"/>
      <c r="I469" s="762"/>
    </row>
    <row r="470" spans="1:9" ht="12.75">
      <c r="A470" s="340" t="s">
        <v>37</v>
      </c>
      <c r="B470" s="218"/>
      <c r="C470" s="218"/>
      <c r="D470" s="448">
        <v>0.003</v>
      </c>
      <c r="E470" s="80">
        <v>3</v>
      </c>
      <c r="F470" s="78"/>
      <c r="G470" s="78"/>
      <c r="H470" s="78"/>
      <c r="I470" s="762"/>
    </row>
    <row r="471" spans="1:9" ht="12.75">
      <c r="A471" s="217" t="s">
        <v>18</v>
      </c>
      <c r="B471" s="218"/>
      <c r="C471" s="218"/>
      <c r="D471" s="77">
        <v>0.02</v>
      </c>
      <c r="E471" s="78">
        <v>20</v>
      </c>
      <c r="F471" s="78"/>
      <c r="G471" s="78"/>
      <c r="H471" s="78"/>
      <c r="I471" s="762"/>
    </row>
    <row r="472" spans="1:9" ht="12.75">
      <c r="A472" s="523" t="s">
        <v>46</v>
      </c>
      <c r="B472" s="38"/>
      <c r="C472" s="38"/>
      <c r="D472" s="527">
        <v>0.008</v>
      </c>
      <c r="E472" s="528">
        <v>7</v>
      </c>
      <c r="F472" s="78"/>
      <c r="G472" s="78"/>
      <c r="H472" s="78"/>
      <c r="I472" s="762"/>
    </row>
    <row r="473" spans="1:9" ht="12.75">
      <c r="A473" s="649" t="s">
        <v>344</v>
      </c>
      <c r="B473" s="178"/>
      <c r="C473" s="178"/>
      <c r="D473" s="178"/>
      <c r="E473" s="178"/>
      <c r="F473" s="178">
        <v>17</v>
      </c>
      <c r="G473" s="178">
        <v>21</v>
      </c>
      <c r="H473" s="178">
        <v>6</v>
      </c>
      <c r="I473" s="1670">
        <v>284</v>
      </c>
    </row>
    <row r="475" spans="1:9" ht="15.75">
      <c r="A475" s="1539" t="s">
        <v>305</v>
      </c>
      <c r="B475" s="1510"/>
      <c r="C475" s="1545" t="s">
        <v>440</v>
      </c>
      <c r="D475" s="1510"/>
      <c r="E475" s="1510"/>
      <c r="F475" s="1510"/>
      <c r="G475" s="1510"/>
      <c r="H475" s="1510"/>
      <c r="I475" s="1510"/>
    </row>
    <row r="476" spans="1:9" ht="15">
      <c r="A476" s="1510" t="s">
        <v>441</v>
      </c>
      <c r="B476" s="1510"/>
      <c r="C476" s="1510"/>
      <c r="D476" s="1510"/>
      <c r="E476" s="1510"/>
      <c r="F476" s="1510"/>
      <c r="G476" s="1510"/>
      <c r="H476" s="1510"/>
      <c r="I476" s="1510"/>
    </row>
    <row r="477" spans="1:9" ht="15">
      <c r="A477" s="1510" t="s">
        <v>442</v>
      </c>
      <c r="B477" s="1510"/>
      <c r="C477" s="1510"/>
      <c r="D477" s="1510"/>
      <c r="E477" s="1510"/>
      <c r="F477" s="1510"/>
      <c r="G477" s="1510"/>
      <c r="H477" s="1510"/>
      <c r="I477" s="1510"/>
    </row>
    <row r="480" spans="5:7" ht="12.75" customHeight="1">
      <c r="E480" s="1894" t="s">
        <v>144</v>
      </c>
      <c r="F480" s="1894"/>
      <c r="G480" s="1894"/>
    </row>
    <row r="481" spans="5:6" ht="12.75" customHeight="1">
      <c r="E481" s="1894" t="s">
        <v>443</v>
      </c>
      <c r="F481" s="1894"/>
    </row>
    <row r="482" ht="12.75">
      <c r="E482" s="1671"/>
    </row>
    <row r="483" ht="12.75">
      <c r="E483" s="1671"/>
    </row>
    <row r="485" spans="1:9" ht="12.75" customHeight="1">
      <c r="A485" s="1799" t="s">
        <v>144</v>
      </c>
      <c r="B485" s="1799"/>
      <c r="C485" s="1799"/>
      <c r="D485" s="1664" t="s">
        <v>4</v>
      </c>
      <c r="E485" s="1664" t="s">
        <v>5</v>
      </c>
      <c r="F485" s="1665" t="s">
        <v>391</v>
      </c>
      <c r="G485" s="1666" t="s">
        <v>392</v>
      </c>
      <c r="H485" s="1667" t="s">
        <v>393</v>
      </c>
      <c r="I485" s="1668" t="s">
        <v>438</v>
      </c>
    </row>
    <row r="486" spans="1:9" ht="12.75">
      <c r="A486" s="248" t="s">
        <v>16</v>
      </c>
      <c r="B486" s="249"/>
      <c r="C486" s="250"/>
      <c r="D486" s="252">
        <v>0.004</v>
      </c>
      <c r="E486" s="253">
        <v>4</v>
      </c>
      <c r="F486" s="78"/>
      <c r="G486" s="78"/>
      <c r="H486" s="78"/>
      <c r="I486" s="762"/>
    </row>
    <row r="487" spans="1:9" ht="12.75">
      <c r="A487" s="248" t="s">
        <v>37</v>
      </c>
      <c r="B487" s="250"/>
      <c r="C487" s="250"/>
      <c r="D487" s="51">
        <v>0.004</v>
      </c>
      <c r="E487" s="256">
        <v>4</v>
      </c>
      <c r="F487" s="78"/>
      <c r="G487" s="78"/>
      <c r="H487" s="78"/>
      <c r="I487" s="762"/>
    </row>
    <row r="488" spans="1:9" ht="12.75">
      <c r="A488" s="999" t="s">
        <v>72</v>
      </c>
      <c r="B488" s="1000"/>
      <c r="C488" s="1000"/>
      <c r="D488" s="1001">
        <v>0.015</v>
      </c>
      <c r="E488" s="1002">
        <v>15</v>
      </c>
      <c r="F488" s="78"/>
      <c r="G488" s="78"/>
      <c r="H488" s="78"/>
      <c r="I488" s="762"/>
    </row>
    <row r="489" spans="1:9" ht="12.75">
      <c r="A489" s="340" t="s">
        <v>102</v>
      </c>
      <c r="B489" s="493"/>
      <c r="C489" s="493"/>
      <c r="D489" s="835">
        <v>0.04</v>
      </c>
      <c r="E489" s="85">
        <v>40</v>
      </c>
      <c r="F489" s="78"/>
      <c r="G489" s="78"/>
      <c r="H489" s="78"/>
      <c r="I489" s="762"/>
    </row>
    <row r="490" spans="1:9" ht="12.75">
      <c r="A490" s="340" t="s">
        <v>18</v>
      </c>
      <c r="B490" s="493"/>
      <c r="C490" s="493"/>
      <c r="D490" s="835">
        <v>0.02</v>
      </c>
      <c r="E490" s="85">
        <v>20</v>
      </c>
      <c r="F490" s="78"/>
      <c r="G490" s="78"/>
      <c r="H490" s="78"/>
      <c r="I490" s="762"/>
    </row>
    <row r="491" spans="1:9" ht="12.75">
      <c r="A491" s="340" t="s">
        <v>46</v>
      </c>
      <c r="B491" s="493"/>
      <c r="C491" s="493"/>
      <c r="D491" s="835">
        <v>0.021</v>
      </c>
      <c r="E491" s="85">
        <v>20</v>
      </c>
      <c r="F491" s="78"/>
      <c r="G491" s="78"/>
      <c r="H491" s="78"/>
      <c r="I491" s="762"/>
    </row>
    <row r="492" spans="1:9" ht="12.75">
      <c r="A492" s="248" t="s">
        <v>33</v>
      </c>
      <c r="B492" s="249"/>
      <c r="C492" s="249"/>
      <c r="D492" s="261">
        <v>0.012</v>
      </c>
      <c r="E492" s="262">
        <v>10</v>
      </c>
      <c r="F492" s="78"/>
      <c r="G492" s="78"/>
      <c r="H492" s="78"/>
      <c r="I492" s="762"/>
    </row>
    <row r="493" spans="1:9" ht="12.75">
      <c r="A493" s="248" t="s">
        <v>34</v>
      </c>
      <c r="B493" s="249"/>
      <c r="C493" s="249"/>
      <c r="D493" s="271">
        <v>0.02</v>
      </c>
      <c r="E493" s="272">
        <v>14</v>
      </c>
      <c r="F493" s="78"/>
      <c r="G493" s="78"/>
      <c r="H493" s="78"/>
      <c r="I493" s="762"/>
    </row>
    <row r="494" spans="1:9" ht="12.75">
      <c r="A494" s="566" t="s">
        <v>36</v>
      </c>
      <c r="B494" s="567"/>
      <c r="C494" s="567"/>
      <c r="D494" s="441">
        <v>0.1</v>
      </c>
      <c r="E494" s="442">
        <v>85</v>
      </c>
      <c r="F494" s="83"/>
      <c r="G494" s="83"/>
      <c r="H494" s="83"/>
      <c r="I494" s="1538"/>
    </row>
    <row r="495" spans="1:9" ht="12.75">
      <c r="A495" s="649" t="s">
        <v>344</v>
      </c>
      <c r="B495" s="178"/>
      <c r="C495" s="178"/>
      <c r="D495" s="178"/>
      <c r="E495" s="178"/>
      <c r="F495" s="178">
        <v>24.06</v>
      </c>
      <c r="G495" s="178">
        <v>26.85</v>
      </c>
      <c r="H495" s="178">
        <v>31.29</v>
      </c>
      <c r="I495" s="1670">
        <v>466.24</v>
      </c>
    </row>
    <row r="496" ht="15.75">
      <c r="A496" s="1539" t="s">
        <v>305</v>
      </c>
    </row>
    <row r="497" ht="12.75">
      <c r="A497" t="s">
        <v>444</v>
      </c>
    </row>
    <row r="498" ht="12.75">
      <c r="A498" t="s">
        <v>445</v>
      </c>
    </row>
    <row r="499" ht="12.75">
      <c r="A499" t="s">
        <v>446</v>
      </c>
    </row>
    <row r="500" ht="12.75">
      <c r="A500" t="s">
        <v>447</v>
      </c>
    </row>
    <row r="501" ht="12.75">
      <c r="A501" t="s">
        <v>448</v>
      </c>
    </row>
    <row r="504" ht="12.75">
      <c r="D504" s="1672" t="s">
        <v>184</v>
      </c>
    </row>
    <row r="505" ht="12.75">
      <c r="D505" s="1672" t="s">
        <v>449</v>
      </c>
    </row>
    <row r="507" spans="1:9" ht="12.75" customHeight="1">
      <c r="A507" s="1815" t="s">
        <v>184</v>
      </c>
      <c r="B507" s="1815"/>
      <c r="C507" s="1815"/>
      <c r="D507" s="1664" t="s">
        <v>4</v>
      </c>
      <c r="E507" s="1664" t="s">
        <v>5</v>
      </c>
      <c r="F507" s="1665" t="s">
        <v>391</v>
      </c>
      <c r="G507" s="1666" t="s">
        <v>392</v>
      </c>
      <c r="H507" s="1667" t="s">
        <v>393</v>
      </c>
      <c r="I507" s="1668" t="s">
        <v>438</v>
      </c>
    </row>
    <row r="508" spans="1:9" ht="12.75">
      <c r="A508" s="1673" t="s">
        <v>107</v>
      </c>
      <c r="B508" s="1266"/>
      <c r="C508" s="1266"/>
      <c r="D508" s="1267">
        <v>0.1</v>
      </c>
      <c r="E508" s="1266">
        <v>70</v>
      </c>
      <c r="F508" s="73"/>
      <c r="G508" s="73"/>
      <c r="H508" s="73"/>
      <c r="I508" s="353"/>
    </row>
    <row r="509" spans="1:9" ht="12.75">
      <c r="A509" s="1070" t="s">
        <v>37</v>
      </c>
      <c r="B509" s="78"/>
      <c r="C509" s="78"/>
      <c r="D509" s="77">
        <v>0.002</v>
      </c>
      <c r="E509" s="78">
        <v>2</v>
      </c>
      <c r="F509" s="78"/>
      <c r="G509" s="78"/>
      <c r="H509" s="78"/>
      <c r="I509" s="762"/>
    </row>
    <row r="510" spans="1:9" ht="12.75">
      <c r="A510" s="248" t="s">
        <v>16</v>
      </c>
      <c r="B510" s="250"/>
      <c r="C510" s="250"/>
      <c r="D510" s="904">
        <v>0.003</v>
      </c>
      <c r="E510" s="905">
        <v>3</v>
      </c>
      <c r="F510" s="78"/>
      <c r="G510" s="78"/>
      <c r="H510" s="78"/>
      <c r="I510" s="762"/>
    </row>
    <row r="511" spans="1:9" ht="12.75">
      <c r="A511" s="47" t="s">
        <v>33</v>
      </c>
      <c r="B511" s="48"/>
      <c r="C511" s="48"/>
      <c r="D511" s="95">
        <v>0.01</v>
      </c>
      <c r="E511" s="54">
        <v>8</v>
      </c>
      <c r="F511" s="78"/>
      <c r="G511" s="78"/>
      <c r="H511" s="78"/>
      <c r="I511" s="762"/>
    </row>
    <row r="512" spans="1:9" ht="12.75">
      <c r="A512" s="248" t="s">
        <v>46</v>
      </c>
      <c r="B512" s="249"/>
      <c r="C512" s="249"/>
      <c r="D512" s="717">
        <v>0.006</v>
      </c>
      <c r="E512" s="941">
        <v>5</v>
      </c>
      <c r="F512" s="78"/>
      <c r="G512" s="78"/>
      <c r="H512" s="78"/>
      <c r="I512" s="762"/>
    </row>
    <row r="513" spans="1:9" ht="12.75">
      <c r="A513" s="248" t="s">
        <v>76</v>
      </c>
      <c r="B513" s="249"/>
      <c r="C513" s="249"/>
      <c r="D513" s="717">
        <v>0.005</v>
      </c>
      <c r="E513" s="941">
        <v>5</v>
      </c>
      <c r="F513" s="78"/>
      <c r="G513" s="78"/>
      <c r="H513" s="78"/>
      <c r="I513" s="762"/>
    </row>
    <row r="514" spans="1:9" ht="12.75">
      <c r="A514" s="225" t="s">
        <v>18</v>
      </c>
      <c r="B514" s="1128"/>
      <c r="C514" s="1128"/>
      <c r="D514" s="476">
        <v>0.05</v>
      </c>
      <c r="E514" s="477">
        <v>50</v>
      </c>
      <c r="F514" s="83"/>
      <c r="G514" s="83"/>
      <c r="H514" s="83"/>
      <c r="I514" s="1538"/>
    </row>
    <row r="515" spans="1:9" ht="12.75">
      <c r="A515" s="649" t="s">
        <v>344</v>
      </c>
      <c r="B515" s="178"/>
      <c r="C515" s="178"/>
      <c r="D515" s="178"/>
      <c r="E515" s="178"/>
      <c r="F515" s="178">
        <v>16.8</v>
      </c>
      <c r="G515" s="178">
        <v>6</v>
      </c>
      <c r="H515" s="178">
        <v>41</v>
      </c>
      <c r="I515" s="1670">
        <v>238</v>
      </c>
    </row>
    <row r="517" ht="12.75">
      <c r="A517" s="1672" t="s">
        <v>450</v>
      </c>
    </row>
    <row r="518" ht="12.75">
      <c r="A518" t="s">
        <v>451</v>
      </c>
    </row>
    <row r="519" ht="12.75">
      <c r="A519" t="s">
        <v>452</v>
      </c>
    </row>
    <row r="520" ht="12.75">
      <c r="A520" t="s">
        <v>453</v>
      </c>
    </row>
    <row r="522" ht="12.75">
      <c r="A522" t="s">
        <v>454</v>
      </c>
    </row>
    <row r="523" ht="12.75">
      <c r="A523" t="s">
        <v>455</v>
      </c>
    </row>
    <row r="524" ht="12.75">
      <c r="A524" t="s">
        <v>456</v>
      </c>
    </row>
    <row r="525" ht="12.75">
      <c r="A525" t="s">
        <v>457</v>
      </c>
    </row>
    <row r="526" ht="12.75">
      <c r="A526" t="s">
        <v>458</v>
      </c>
    </row>
    <row r="527" spans="1:2" ht="15">
      <c r="A527" s="1674" t="s">
        <v>459</v>
      </c>
      <c r="B527" s="1675"/>
    </row>
    <row r="528" ht="15">
      <c r="A528" s="1676" t="s">
        <v>460</v>
      </c>
    </row>
    <row r="529" ht="15">
      <c r="A529" s="1676"/>
    </row>
    <row r="532" spans="1:5" ht="18">
      <c r="A532" s="1"/>
      <c r="C532" s="303" t="s">
        <v>35</v>
      </c>
      <c r="D532" s="1582"/>
      <c r="E532" s="1582"/>
    </row>
    <row r="533" spans="1:3" ht="12.75">
      <c r="A533" s="1"/>
      <c r="C533" t="s">
        <v>461</v>
      </c>
    </row>
    <row r="534" spans="1:11" ht="31.5">
      <c r="A534" s="1895"/>
      <c r="B534" s="1895"/>
      <c r="C534" s="1895"/>
      <c r="D534" s="1664" t="s">
        <v>4</v>
      </c>
      <c r="E534" s="1664" t="s">
        <v>5</v>
      </c>
      <c r="F534" s="1665" t="s">
        <v>391</v>
      </c>
      <c r="G534" s="1666" t="s">
        <v>392</v>
      </c>
      <c r="H534" s="1667" t="s">
        <v>393</v>
      </c>
      <c r="I534" s="1668" t="s">
        <v>438</v>
      </c>
      <c r="J534" s="1677"/>
      <c r="K534" s="119"/>
    </row>
    <row r="535" spans="1:11" ht="15">
      <c r="A535" s="238" t="s">
        <v>36</v>
      </c>
      <c r="B535" s="239"/>
      <c r="C535" s="239"/>
      <c r="D535" s="241">
        <v>0.09</v>
      </c>
      <c r="E535" s="242">
        <v>85</v>
      </c>
      <c r="F535" s="242"/>
      <c r="G535" s="73"/>
      <c r="H535" s="73"/>
      <c r="I535" s="353"/>
      <c r="J535" s="370"/>
      <c r="K535" s="370"/>
    </row>
    <row r="536" spans="1:11" ht="15">
      <c r="A536" s="248" t="s">
        <v>16</v>
      </c>
      <c r="B536" s="249"/>
      <c r="C536" s="250"/>
      <c r="D536" s="252">
        <v>0.004</v>
      </c>
      <c r="E536" s="253">
        <v>4</v>
      </c>
      <c r="F536" s="253"/>
      <c r="G536" s="78"/>
      <c r="H536" s="78"/>
      <c r="I536" s="762"/>
      <c r="J536" s="370"/>
      <c r="K536" s="370"/>
    </row>
    <row r="537" spans="1:11" ht="15">
      <c r="A537" s="248" t="s">
        <v>37</v>
      </c>
      <c r="B537" s="250"/>
      <c r="C537" s="250"/>
      <c r="D537" s="51">
        <v>0.004</v>
      </c>
      <c r="E537" s="256">
        <v>4</v>
      </c>
      <c r="F537" s="256"/>
      <c r="G537" s="78"/>
      <c r="H537" s="78"/>
      <c r="I537" s="762"/>
      <c r="J537" s="370"/>
      <c r="K537" s="370"/>
    </row>
    <row r="538" spans="1:11" ht="15">
      <c r="A538" s="248" t="s">
        <v>38</v>
      </c>
      <c r="B538" s="249"/>
      <c r="C538" s="249"/>
      <c r="D538" s="261">
        <v>0.22</v>
      </c>
      <c r="E538" s="262">
        <v>176</v>
      </c>
      <c r="F538" s="262"/>
      <c r="G538" s="78"/>
      <c r="H538" s="78"/>
      <c r="I538" s="762"/>
      <c r="J538" s="370"/>
      <c r="K538" s="370"/>
    </row>
    <row r="539" spans="1:11" ht="15">
      <c r="A539" s="248" t="s">
        <v>33</v>
      </c>
      <c r="B539" s="249"/>
      <c r="C539" s="249"/>
      <c r="D539" s="261">
        <v>0.02</v>
      </c>
      <c r="E539" s="262">
        <v>17</v>
      </c>
      <c r="F539" s="262"/>
      <c r="G539" s="78"/>
      <c r="H539" s="78"/>
      <c r="I539" s="762"/>
      <c r="J539" s="370"/>
      <c r="K539" s="370"/>
    </row>
    <row r="540" spans="1:11" ht="15">
      <c r="A540" s="248" t="s">
        <v>34</v>
      </c>
      <c r="B540" s="249"/>
      <c r="C540" s="249"/>
      <c r="D540" s="271">
        <v>0.03</v>
      </c>
      <c r="E540" s="272">
        <v>22</v>
      </c>
      <c r="F540" s="272"/>
      <c r="G540" s="78"/>
      <c r="H540" s="78"/>
      <c r="I540" s="762"/>
      <c r="J540" s="370"/>
      <c r="K540" s="370"/>
    </row>
    <row r="541" spans="1:11" ht="15.75">
      <c r="A541" s="1678" t="s">
        <v>344</v>
      </c>
      <c r="B541" s="1679"/>
      <c r="C541" s="1679"/>
      <c r="D541" s="647"/>
      <c r="E541" s="648"/>
      <c r="F541" s="1507">
        <v>19.54</v>
      </c>
      <c r="G541" s="1507">
        <v>20.73</v>
      </c>
      <c r="H541" s="1507">
        <v>11.24</v>
      </c>
      <c r="I541" s="1508">
        <v>311.69</v>
      </c>
      <c r="J541" s="369"/>
      <c r="K541" s="369"/>
    </row>
    <row r="542" spans="1:11" ht="15">
      <c r="A542" s="370"/>
      <c r="B542" s="370"/>
      <c r="C542" s="370"/>
      <c r="D542" s="28"/>
      <c r="E542" s="28"/>
      <c r="F542" s="28"/>
      <c r="G542" s="28"/>
      <c r="H542" s="28"/>
      <c r="I542" s="28"/>
      <c r="J542" s="1510"/>
      <c r="K542" s="1510"/>
    </row>
    <row r="543" spans="1:11" ht="15">
      <c r="A543" s="370"/>
      <c r="B543" s="370"/>
      <c r="C543" s="370"/>
      <c r="D543" s="370"/>
      <c r="E543" s="1680"/>
      <c r="F543" s="370"/>
      <c r="G543" s="371"/>
      <c r="H543" s="371"/>
      <c r="I543" s="1681"/>
      <c r="J543" s="1681"/>
      <c r="K543" s="1681"/>
    </row>
    <row r="544" spans="1:11" ht="15.75">
      <c r="A544" s="1539" t="s">
        <v>305</v>
      </c>
      <c r="B544" s="370"/>
      <c r="C544" s="370" t="s">
        <v>462</v>
      </c>
      <c r="D544" s="370"/>
      <c r="E544" s="1680"/>
      <c r="F544" s="370"/>
      <c r="G544" s="371"/>
      <c r="H544" s="371"/>
      <c r="I544" s="1681"/>
      <c r="J544" s="1681"/>
      <c r="K544" s="1681"/>
    </row>
    <row r="545" spans="1:11" ht="15">
      <c r="A545" s="1510" t="s">
        <v>463</v>
      </c>
      <c r="B545" s="1510"/>
      <c r="C545" s="1510"/>
      <c r="D545" s="1510"/>
      <c r="E545" s="1510"/>
      <c r="F545" s="1510"/>
      <c r="G545" s="1510"/>
      <c r="H545" s="1510"/>
      <c r="I545" s="1510"/>
      <c r="J545" s="1510"/>
      <c r="K545" s="1510"/>
    </row>
    <row r="546" spans="1:11" ht="15">
      <c r="A546" s="1510" t="s">
        <v>464</v>
      </c>
      <c r="B546" s="1510"/>
      <c r="C546" s="1510"/>
      <c r="D546" s="1510"/>
      <c r="E546" s="1510"/>
      <c r="F546" s="1510"/>
      <c r="G546" s="1510"/>
      <c r="H546" s="1510"/>
      <c r="I546" s="1510"/>
      <c r="J546" s="1510"/>
      <c r="K546" s="1510"/>
    </row>
    <row r="547" spans="1:11" ht="15">
      <c r="A547" s="1510" t="s">
        <v>465</v>
      </c>
      <c r="B547" s="1510"/>
      <c r="C547" s="1510"/>
      <c r="D547" s="1510"/>
      <c r="E547" s="1510"/>
      <c r="F547" s="1510"/>
      <c r="G547" s="1510"/>
      <c r="H547" s="1510"/>
      <c r="I547" s="1510"/>
      <c r="J547" s="1510"/>
      <c r="K547" s="1510"/>
    </row>
    <row r="548" spans="1:11" ht="15">
      <c r="A548" s="1510"/>
      <c r="B548" s="1510"/>
      <c r="C548" s="1510"/>
      <c r="D548" s="1510"/>
      <c r="E548" s="1510"/>
      <c r="F548" s="1510"/>
      <c r="G548" s="1510"/>
      <c r="H548" s="1510"/>
      <c r="I548" s="1510"/>
      <c r="J548" s="1510"/>
      <c r="K548" s="1510"/>
    </row>
    <row r="549" spans="1:11" ht="15.75">
      <c r="A549" s="1539" t="s">
        <v>466</v>
      </c>
      <c r="B549" s="1510" t="s">
        <v>467</v>
      </c>
      <c r="C549" s="1510"/>
      <c r="D549" s="1510"/>
      <c r="E549" s="1510"/>
      <c r="F549" s="1510"/>
      <c r="G549" s="1510"/>
      <c r="H549" s="1510"/>
      <c r="I549" s="1510"/>
      <c r="J549" s="1510"/>
      <c r="K549" s="1510"/>
    </row>
    <row r="553" ht="15.75">
      <c r="C553" s="1682" t="s">
        <v>468</v>
      </c>
    </row>
    <row r="554" ht="12.75">
      <c r="C554" t="s">
        <v>461</v>
      </c>
    </row>
    <row r="556" spans="1:11" ht="31.5">
      <c r="A556" s="1776" t="s">
        <v>468</v>
      </c>
      <c r="B556" s="1776"/>
      <c r="C556" s="1776"/>
      <c r="D556" s="1664" t="s">
        <v>4</v>
      </c>
      <c r="E556" s="1664" t="s">
        <v>5</v>
      </c>
      <c r="F556" s="1665" t="s">
        <v>391</v>
      </c>
      <c r="G556" s="1666" t="s">
        <v>392</v>
      </c>
      <c r="H556" s="1667" t="s">
        <v>393</v>
      </c>
      <c r="I556" s="1668" t="s">
        <v>438</v>
      </c>
      <c r="J556" s="1677"/>
      <c r="K556" s="119"/>
    </row>
    <row r="557" spans="1:11" ht="12.75">
      <c r="A557" s="340" t="s">
        <v>75</v>
      </c>
      <c r="B557" s="590"/>
      <c r="C557" s="590"/>
      <c r="D557" s="721">
        <v>0.1</v>
      </c>
      <c r="E557" s="722">
        <v>75</v>
      </c>
      <c r="F557" s="722"/>
      <c r="G557" s="73"/>
      <c r="H557" s="73"/>
      <c r="I557" s="353"/>
      <c r="J557" s="291"/>
      <c r="K557" s="291"/>
    </row>
    <row r="558" spans="1:11" ht="12.75">
      <c r="A558" s="47" t="s">
        <v>37</v>
      </c>
      <c r="B558" s="48"/>
      <c r="C558" s="48"/>
      <c r="D558" s="51">
        <v>0.004</v>
      </c>
      <c r="E558" s="52">
        <v>4</v>
      </c>
      <c r="F558" s="52"/>
      <c r="G558" s="78"/>
      <c r="H558" s="78"/>
      <c r="I558" s="762"/>
      <c r="J558" s="233"/>
      <c r="K558" s="233"/>
    </row>
    <row r="559" spans="1:11" ht="12.75">
      <c r="A559" s="47" t="s">
        <v>33</v>
      </c>
      <c r="B559" s="48"/>
      <c r="C559" s="48"/>
      <c r="D559" s="51">
        <v>0.015</v>
      </c>
      <c r="E559" s="52">
        <v>13</v>
      </c>
      <c r="F559" s="52"/>
      <c r="G559" s="78"/>
      <c r="H559" s="78"/>
      <c r="I559" s="762"/>
      <c r="J559" s="268"/>
      <c r="K559" s="268"/>
    </row>
    <row r="560" spans="1:11" ht="12.75">
      <c r="A560" s="47" t="s">
        <v>34</v>
      </c>
      <c r="B560" s="48"/>
      <c r="C560" s="48"/>
      <c r="D560" s="51">
        <v>0.023</v>
      </c>
      <c r="E560" s="52">
        <v>17</v>
      </c>
      <c r="F560" s="52"/>
      <c r="G560" s="78"/>
      <c r="H560" s="78"/>
      <c r="I560" s="762"/>
      <c r="J560" s="268"/>
      <c r="K560" s="268"/>
    </row>
    <row r="561" spans="1:11" ht="12.75">
      <c r="A561" s="340" t="s">
        <v>78</v>
      </c>
      <c r="B561" s="341"/>
      <c r="C561" s="341"/>
      <c r="D561" s="562">
        <v>0.002</v>
      </c>
      <c r="E561" s="564">
        <v>2</v>
      </c>
      <c r="F561" s="564"/>
      <c r="G561" s="78"/>
      <c r="H561" s="78"/>
      <c r="I561" s="762"/>
      <c r="J561" s="268"/>
      <c r="K561" s="268"/>
    </row>
    <row r="562" spans="1:11" ht="12.75">
      <c r="A562" s="47" t="s">
        <v>92</v>
      </c>
      <c r="B562" s="48"/>
      <c r="C562" s="48"/>
      <c r="D562" s="261">
        <v>0.04</v>
      </c>
      <c r="E562" s="262">
        <v>40</v>
      </c>
      <c r="F562" s="262"/>
      <c r="G562" s="78"/>
      <c r="H562" s="78"/>
      <c r="I562" s="762"/>
      <c r="J562" s="268"/>
      <c r="K562" s="269"/>
    </row>
    <row r="563" spans="1:11" ht="12.75">
      <c r="A563" s="1404" t="s">
        <v>16</v>
      </c>
      <c r="B563" s="1405"/>
      <c r="C563" s="1405"/>
      <c r="D563" s="1407">
        <v>0.005</v>
      </c>
      <c r="E563" s="1408">
        <v>5</v>
      </c>
      <c r="F563" s="1408"/>
      <c r="G563" s="78"/>
      <c r="H563" s="78"/>
      <c r="I563" s="762"/>
      <c r="J563" s="332"/>
      <c r="K563" s="332"/>
    </row>
    <row r="564" spans="1:11" ht="12.75">
      <c r="A564" s="346" t="s">
        <v>344</v>
      </c>
      <c r="B564" s="178"/>
      <c r="C564" s="178"/>
      <c r="D564" s="647"/>
      <c r="E564" s="648"/>
      <c r="F564" s="1507">
        <v>5.1</v>
      </c>
      <c r="G564" s="1507">
        <v>20.29</v>
      </c>
      <c r="H564" s="1508">
        <v>31.9</v>
      </c>
      <c r="I564" s="1683">
        <v>359.18</v>
      </c>
      <c r="J564" s="28"/>
      <c r="K564" s="28"/>
    </row>
    <row r="565" spans="1:11" ht="12.75">
      <c r="A565" s="19"/>
      <c r="B565" s="28"/>
      <c r="C565" s="28"/>
      <c r="D565" s="28"/>
      <c r="E565" s="28"/>
      <c r="F565" s="28"/>
      <c r="G565" s="28"/>
      <c r="H565" s="28"/>
      <c r="I565" s="28"/>
      <c r="J565" s="28"/>
      <c r="K565" s="28"/>
    </row>
    <row r="566" spans="1:11" ht="15.75">
      <c r="A566" s="1539" t="s">
        <v>469</v>
      </c>
      <c r="B566" s="1510"/>
      <c r="C566" s="1510"/>
      <c r="D566" s="1510"/>
      <c r="E566" s="1510"/>
      <c r="F566" s="1510"/>
      <c r="G566" s="1510"/>
      <c r="H566" s="1510"/>
      <c r="I566" s="1510"/>
      <c r="J566" s="1510"/>
      <c r="K566" s="1510"/>
    </row>
    <row r="567" spans="1:11" ht="15">
      <c r="A567" s="1510" t="s">
        <v>470</v>
      </c>
      <c r="B567" s="1510"/>
      <c r="C567" s="1510"/>
      <c r="D567" s="1510"/>
      <c r="E567" s="1510"/>
      <c r="F567" s="1510"/>
      <c r="G567" s="1510"/>
      <c r="H567" s="1510"/>
      <c r="I567" s="1510"/>
      <c r="J567" s="1510"/>
      <c r="K567" s="1510"/>
    </row>
    <row r="568" spans="1:11" ht="15">
      <c r="A568" s="1510" t="s">
        <v>471</v>
      </c>
      <c r="B568" s="1510"/>
      <c r="C568" s="1510"/>
      <c r="D568" s="1510"/>
      <c r="E568" s="1510"/>
      <c r="F568" s="1510"/>
      <c r="G568" s="1510"/>
      <c r="H568" s="1510"/>
      <c r="I568" s="1510"/>
      <c r="J568" s="1510"/>
      <c r="K568" s="1510"/>
    </row>
    <row r="569" spans="1:11" ht="15">
      <c r="A569" s="1510" t="s">
        <v>472</v>
      </c>
      <c r="B569" s="1510"/>
      <c r="C569" s="1510"/>
      <c r="D569" s="1510"/>
      <c r="E569" s="1510"/>
      <c r="F569" s="1510"/>
      <c r="G569" s="1510"/>
      <c r="H569" s="1510"/>
      <c r="I569" s="1510"/>
      <c r="J569" s="1510"/>
      <c r="K569" s="1510"/>
    </row>
    <row r="573" spans="4:6" ht="15.75">
      <c r="D573" s="1879" t="s">
        <v>473</v>
      </c>
      <c r="E573" s="1879"/>
      <c r="F573" s="1879"/>
    </row>
    <row r="574" ht="12.75">
      <c r="E574" t="s">
        <v>474</v>
      </c>
    </row>
    <row r="575" spans="1:10" ht="15.75">
      <c r="A575" s="1780" t="s">
        <v>473</v>
      </c>
      <c r="B575" s="1780"/>
      <c r="C575" s="1780"/>
      <c r="D575" s="1684">
        <v>200</v>
      </c>
      <c r="E575" s="1596" t="s">
        <v>4</v>
      </c>
      <c r="F575" s="1596" t="s">
        <v>5</v>
      </c>
      <c r="G575" s="1597" t="s">
        <v>268</v>
      </c>
      <c r="H575" s="1597" t="s">
        <v>269</v>
      </c>
      <c r="I575" s="1597" t="s">
        <v>270</v>
      </c>
      <c r="J575" s="1597" t="s">
        <v>271</v>
      </c>
    </row>
    <row r="576" spans="1:10" ht="12.75">
      <c r="A576" s="340" t="s">
        <v>75</v>
      </c>
      <c r="B576" s="493"/>
      <c r="C576" s="493"/>
      <c r="D576" s="515"/>
      <c r="E576" s="190">
        <v>0.1</v>
      </c>
      <c r="F576" s="191">
        <v>75</v>
      </c>
      <c r="G576" s="562"/>
      <c r="H576" s="505"/>
      <c r="I576" s="78"/>
      <c r="J576" s="762"/>
    </row>
    <row r="577" spans="1:10" ht="12.75">
      <c r="A577" s="47" t="s">
        <v>37</v>
      </c>
      <c r="B577" s="48"/>
      <c r="C577" s="48"/>
      <c r="D577" s="840"/>
      <c r="E577" s="51">
        <v>0.004</v>
      </c>
      <c r="F577" s="52">
        <v>4</v>
      </c>
      <c r="G577" s="562"/>
      <c r="H577" s="505"/>
      <c r="I577" s="78"/>
      <c r="J577" s="762"/>
    </row>
    <row r="578" spans="1:10" ht="12.75">
      <c r="A578" s="47" t="s">
        <v>33</v>
      </c>
      <c r="B578" s="48"/>
      <c r="C578" s="48"/>
      <c r="D578" s="840"/>
      <c r="E578" s="51">
        <v>0.015</v>
      </c>
      <c r="F578" s="52">
        <v>13</v>
      </c>
      <c r="G578" s="562"/>
      <c r="H578" s="505"/>
      <c r="I578" s="78"/>
      <c r="J578" s="762"/>
    </row>
    <row r="579" spans="1:10" ht="12.75">
      <c r="A579" s="47" t="s">
        <v>34</v>
      </c>
      <c r="B579" s="48"/>
      <c r="C579" s="48"/>
      <c r="D579" s="840"/>
      <c r="E579" s="51">
        <v>0.025</v>
      </c>
      <c r="F579" s="52">
        <v>18</v>
      </c>
      <c r="G579" s="562"/>
      <c r="H579" s="505"/>
      <c r="I579" s="78"/>
      <c r="J579" s="762"/>
    </row>
    <row r="580" spans="1:10" ht="12.75">
      <c r="A580" s="47" t="s">
        <v>176</v>
      </c>
      <c r="B580" s="48"/>
      <c r="C580" s="48"/>
      <c r="D580" s="840"/>
      <c r="E580" s="261">
        <v>0.045</v>
      </c>
      <c r="F580" s="262">
        <v>45</v>
      </c>
      <c r="G580" s="562"/>
      <c r="H580" s="505"/>
      <c r="I580" s="78"/>
      <c r="J580" s="762"/>
    </row>
    <row r="581" spans="1:10" ht="12.75">
      <c r="A581" s="47" t="s">
        <v>16</v>
      </c>
      <c r="B581" s="48"/>
      <c r="C581" s="48"/>
      <c r="D581" s="840"/>
      <c r="E581" s="51">
        <v>0.005</v>
      </c>
      <c r="F581" s="52">
        <v>5</v>
      </c>
      <c r="G581" s="562"/>
      <c r="H581" s="505"/>
      <c r="I581" s="78"/>
      <c r="J581" s="762"/>
    </row>
    <row r="582" spans="1:10" ht="12.75">
      <c r="A582" s="346" t="s">
        <v>344</v>
      </c>
      <c r="B582" s="178"/>
      <c r="C582" s="178"/>
      <c r="D582" s="647"/>
      <c r="E582" s="648"/>
      <c r="F582" s="1507"/>
      <c r="G582" s="1507">
        <v>5.3</v>
      </c>
      <c r="H582" s="1507">
        <v>21.1</v>
      </c>
      <c r="I582" s="1508">
        <v>27.57</v>
      </c>
      <c r="J582" s="1683">
        <v>356.59</v>
      </c>
    </row>
    <row r="584" spans="1:3" ht="12.75">
      <c r="A584" s="1" t="s">
        <v>305</v>
      </c>
      <c r="C584" t="s">
        <v>475</v>
      </c>
    </row>
    <row r="585" ht="12.75">
      <c r="A585" t="s">
        <v>476</v>
      </c>
    </row>
    <row r="586" ht="12.75">
      <c r="A586" t="s">
        <v>477</v>
      </c>
    </row>
    <row r="587" ht="12.75">
      <c r="A587" s="1674" t="s">
        <v>478</v>
      </c>
    </row>
    <row r="588" ht="12.75">
      <c r="A588" t="s">
        <v>479</v>
      </c>
    </row>
    <row r="589" spans="1:2" ht="12.75">
      <c r="A589" s="1" t="s">
        <v>397</v>
      </c>
      <c r="B589" t="s">
        <v>480</v>
      </c>
    </row>
  </sheetData>
  <sheetProtection selectLockedCells="1" selectUnlockedCells="1"/>
  <mergeCells count="56">
    <mergeCell ref="D573:F573"/>
    <mergeCell ref="A575:C575"/>
    <mergeCell ref="E480:G480"/>
    <mergeCell ref="E481:F481"/>
    <mergeCell ref="A485:C485"/>
    <mergeCell ref="A507:C507"/>
    <mergeCell ref="A534:C534"/>
    <mergeCell ref="A556:C556"/>
    <mergeCell ref="A411:C411"/>
    <mergeCell ref="A421:C421"/>
    <mergeCell ref="A433:C433"/>
    <mergeCell ref="A434:C434"/>
    <mergeCell ref="A445:D445"/>
    <mergeCell ref="A466:C466"/>
    <mergeCell ref="E381:G381"/>
    <mergeCell ref="A384:C384"/>
    <mergeCell ref="A391:C391"/>
    <mergeCell ref="B399:H399"/>
    <mergeCell ref="D400:E400"/>
    <mergeCell ref="A402:C402"/>
    <mergeCell ref="A326:C326"/>
    <mergeCell ref="A345:C345"/>
    <mergeCell ref="A353:C353"/>
    <mergeCell ref="C361:I361"/>
    <mergeCell ref="A364:C364"/>
    <mergeCell ref="A373:C373"/>
    <mergeCell ref="A280:L280"/>
    <mergeCell ref="A288:C288"/>
    <mergeCell ref="A295:C295"/>
    <mergeCell ref="D304:E304"/>
    <mergeCell ref="A306:C306"/>
    <mergeCell ref="A316:C316"/>
    <mergeCell ref="A238:C238"/>
    <mergeCell ref="A250:C250"/>
    <mergeCell ref="A257:C257"/>
    <mergeCell ref="C269:E269"/>
    <mergeCell ref="A271:C271"/>
    <mergeCell ref="A277:C277"/>
    <mergeCell ref="A152:C152"/>
    <mergeCell ref="A161:C161"/>
    <mergeCell ref="D170:F170"/>
    <mergeCell ref="A173:C173"/>
    <mergeCell ref="A200:D200"/>
    <mergeCell ref="A227:C227"/>
    <mergeCell ref="A59:D59"/>
    <mergeCell ref="E66:G66"/>
    <mergeCell ref="A69:C69"/>
    <mergeCell ref="A76:D76"/>
    <mergeCell ref="A102:D102"/>
    <mergeCell ref="A133:C133"/>
    <mergeCell ref="A6:D6"/>
    <mergeCell ref="E25:G25"/>
    <mergeCell ref="A28:C28"/>
    <mergeCell ref="A37:C37"/>
    <mergeCell ref="E52:G52"/>
    <mergeCell ref="A55:C5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Омега</dc:creator>
  <cp:keywords/>
  <dc:description/>
  <cp:lastModifiedBy>Омега</cp:lastModifiedBy>
  <cp:lastPrinted>2015-07-22T07:16:00Z</cp:lastPrinted>
  <dcterms:created xsi:type="dcterms:W3CDTF">2015-08-26T07:10:27Z</dcterms:created>
  <dcterms:modified xsi:type="dcterms:W3CDTF">2015-08-26T07:10:29Z</dcterms:modified>
  <cp:category/>
  <cp:version/>
  <cp:contentType/>
  <cp:contentStatus/>
</cp:coreProperties>
</file>